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williams/Downloads/"/>
    </mc:Choice>
  </mc:AlternateContent>
  <xr:revisionPtr revIDLastSave="0" documentId="13_ncr:1_{2373617F-DABC-F940-818F-D9E3910F47B6}" xr6:coauthVersionLast="47" xr6:coauthVersionMax="47" xr10:uidLastSave="{00000000-0000-0000-0000-000000000000}"/>
  <bookViews>
    <workbookView xWindow="0" yWindow="0" windowWidth="38400" windowHeight="21600" tabRatio="500" xr2:uid="{00000000-000D-0000-FFFF-FFFF00000000}"/>
  </bookViews>
  <sheets>
    <sheet name="Sheet1" sheetId="1" r:id="rId1"/>
    <sheet name="Sheet2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1" l="1"/>
  <c r="C3" i="1"/>
  <c r="A2" i="1"/>
  <c r="C88" i="2" l="1"/>
  <c r="E52" i="1" s="1"/>
  <c r="B13" i="2" l="1"/>
  <c r="G41" i="1" l="1"/>
  <c r="E14" i="1"/>
  <c r="E16" i="1" l="1"/>
  <c r="G26" i="1" s="1"/>
  <c r="B25" i="2"/>
  <c r="C25" i="2" s="1"/>
  <c r="B51" i="2"/>
  <c r="C51" i="2" s="1"/>
  <c r="E53" i="2" s="1"/>
  <c r="F53" i="2" s="1"/>
  <c r="E46" i="2"/>
  <c r="B43" i="2"/>
  <c r="C43" i="2" s="1"/>
  <c r="G43" i="2" s="1"/>
  <c r="H43" i="2" s="1"/>
  <c r="C13" i="2"/>
  <c r="G46" i="2" l="1"/>
  <c r="H44" i="2"/>
  <c r="E30" i="2"/>
  <c r="E29" i="2"/>
  <c r="E28" i="2"/>
  <c r="E27" i="2"/>
  <c r="G25" i="2"/>
  <c r="G26" i="2" s="1"/>
  <c r="G27" i="2" s="1"/>
  <c r="E48" i="1" s="1"/>
  <c r="E26" i="2"/>
  <c r="E32" i="2"/>
  <c r="E25" i="2"/>
  <c r="E31" i="2"/>
  <c r="G13" i="2"/>
  <c r="G14" i="2" s="1"/>
  <c r="E16" i="2"/>
  <c r="E13" i="2"/>
  <c r="E54" i="2"/>
  <c r="E15" i="2"/>
  <c r="E18" i="2"/>
  <c r="E14" i="2"/>
  <c r="E17" i="2"/>
  <c r="E19" i="2"/>
  <c r="E20" i="2"/>
  <c r="E43" i="2"/>
  <c r="E45" i="2"/>
  <c r="E44" i="2"/>
  <c r="G44" i="2"/>
  <c r="E44" i="1" s="1"/>
  <c r="J11" i="1"/>
  <c r="J61" i="1" s="1"/>
  <c r="A7" i="1"/>
  <c r="G15" i="2" l="1"/>
  <c r="E50" i="1"/>
  <c r="E56" i="2"/>
  <c r="E46" i="1" s="1"/>
  <c r="F54" i="2"/>
  <c r="G68" i="1" l="1"/>
  <c r="G70" i="1" s="1"/>
</calcChain>
</file>

<file path=xl/sharedStrings.xml><?xml version="1.0" encoding="utf-8"?>
<sst xmlns="http://schemas.openxmlformats.org/spreadsheetml/2006/main" count="153" uniqueCount="107">
  <si>
    <t>Quote Date</t>
  </si>
  <si>
    <t>County</t>
  </si>
  <si>
    <t>Sales Price</t>
  </si>
  <si>
    <t>Taxes Due</t>
  </si>
  <si>
    <t>Assessments</t>
  </si>
  <si>
    <t>HOA Fees</t>
  </si>
  <si>
    <t>Contract Terms</t>
  </si>
  <si>
    <t>Property Inspections</t>
  </si>
  <si>
    <t>Pest Inspections</t>
  </si>
  <si>
    <t>Repairs</t>
  </si>
  <si>
    <t>Hazard Insurance</t>
  </si>
  <si>
    <t>Other</t>
  </si>
  <si>
    <t>Closing Cost</t>
  </si>
  <si>
    <t>Transfer Tax</t>
  </si>
  <si>
    <t>123 Main Street</t>
  </si>
  <si>
    <t>Split? (yes or no)</t>
  </si>
  <si>
    <t xml:space="preserve">*all fees indicated on this sheet are purely estimates.  **Title premiums may qualify for short term discounts </t>
  </si>
  <si>
    <t>Washoe</t>
  </si>
  <si>
    <t>Settlement Date</t>
  </si>
  <si>
    <t>Property Address</t>
  </si>
  <si>
    <t>Escrow Fee</t>
  </si>
  <si>
    <t>Standard/ Extended Owners Calculations</t>
  </si>
  <si>
    <t>per 10k</t>
  </si>
  <si>
    <t>Call</t>
  </si>
  <si>
    <t>Input Value</t>
  </si>
  <si>
    <t>Rounded Value</t>
  </si>
  <si>
    <t>Total</t>
  </si>
  <si>
    <t>Escrow Fee Calculation (Sale)</t>
  </si>
  <si>
    <t>per 1K</t>
  </si>
  <si>
    <t>Transfer Tax Washoe ($4.10/1000)</t>
  </si>
  <si>
    <t>Transfer Tax out of County ($3.90/1000)</t>
  </si>
  <si>
    <t xml:space="preserve">Final Transfer Tax --&gt; </t>
  </si>
  <si>
    <t>Buyer's Net Sheet</t>
  </si>
  <si>
    <t>Escrow Officer</t>
  </si>
  <si>
    <t>Property Sale Information</t>
  </si>
  <si>
    <t>Purchase Price</t>
  </si>
  <si>
    <t>Down Payment</t>
  </si>
  <si>
    <t>Loan Fees</t>
  </si>
  <si>
    <t>Total:</t>
  </si>
  <si>
    <t>Wire Fee</t>
  </si>
  <si>
    <t>First Centennial Title Company of Nevada</t>
  </si>
  <si>
    <t>Escrow Officers</t>
  </si>
  <si>
    <t xml:space="preserve">Cheryl Dougherty </t>
  </si>
  <si>
    <t xml:space="preserve">Dena Reed </t>
  </si>
  <si>
    <t xml:space="preserve">Denise Clark </t>
  </si>
  <si>
    <t xml:space="preserve">Elizabeth Svenningsen </t>
  </si>
  <si>
    <t xml:space="preserve">Jennifer Sammons </t>
  </si>
  <si>
    <t xml:space="preserve">Karen Smith </t>
  </si>
  <si>
    <t xml:space="preserve">Katie Holderfield </t>
  </si>
  <si>
    <t xml:space="preserve">Randi Bennett </t>
  </si>
  <si>
    <t xml:space="preserve">Sherrie Hoss </t>
  </si>
  <si>
    <t xml:space="preserve">Suzanne Silverman </t>
  </si>
  <si>
    <t>775-689-8510</t>
  </si>
  <si>
    <t>775-689-1810</t>
  </si>
  <si>
    <t>775-689-8235</t>
  </si>
  <si>
    <t>1450 Ridgeview Drive, Suite 100 Reno, NV 89519</t>
  </si>
  <si>
    <t>3748 Lakeside Drive, Suite 100 Reno, NV 89509</t>
  </si>
  <si>
    <t>3700 Lakeside Drive, Suite 110 Reno, NV 89509</t>
  </si>
  <si>
    <t>4870 Vista Blvd, Suite 110 Sparks, NV 89436</t>
  </si>
  <si>
    <t>775-689-8551</t>
  </si>
  <si>
    <t>775-507-3998</t>
  </si>
  <si>
    <t>896 West Nye Lane, Suite 104 Carson City, NV 89703</t>
  </si>
  <si>
    <t>775-841-6580</t>
  </si>
  <si>
    <t>775-507-3995</t>
  </si>
  <si>
    <t>775-831-8200</t>
  </si>
  <si>
    <t>775-507-3996</t>
  </si>
  <si>
    <t>775-571-1441</t>
  </si>
  <si>
    <t>775-800-5700</t>
  </si>
  <si>
    <t>775-800-5701</t>
  </si>
  <si>
    <t>775-372-9179</t>
  </si>
  <si>
    <t>775-229-4352</t>
  </si>
  <si>
    <t>775-229-4354</t>
  </si>
  <si>
    <t>775-229-4356</t>
  </si>
  <si>
    <t>Phone No.</t>
  </si>
  <si>
    <t>Fax No.</t>
  </si>
  <si>
    <t>NV Counties</t>
  </si>
  <si>
    <t>Carson</t>
  </si>
  <si>
    <t>Douglas</t>
  </si>
  <si>
    <t>Lyon</t>
  </si>
  <si>
    <t>Storey</t>
  </si>
  <si>
    <t>Recording Fee DOT)</t>
  </si>
  <si>
    <t>Recording Fee (Deed)</t>
  </si>
  <si>
    <t>ALTA Lenders Calculation</t>
  </si>
  <si>
    <t>Percentage?</t>
  </si>
  <si>
    <t>Estimated Out of Pocket for Buyer</t>
  </si>
  <si>
    <t>Yes</t>
  </si>
  <si>
    <t>No</t>
  </si>
  <si>
    <t xml:space="preserve">FedEx </t>
  </si>
  <si>
    <t>Title Policy - Lenders</t>
  </si>
  <si>
    <t>Extended Policy (10%)</t>
  </si>
  <si>
    <t>Yes or No</t>
  </si>
  <si>
    <t>Wood Stove</t>
  </si>
  <si>
    <t>Notary Fee</t>
  </si>
  <si>
    <t>Endorsements</t>
  </si>
  <si>
    <t>CPL</t>
  </si>
  <si>
    <t>Home Warranty</t>
  </si>
  <si>
    <t>Wood Stove Expt</t>
  </si>
  <si>
    <t>Ridgeview Office</t>
  </si>
  <si>
    <t>Incline Office</t>
  </si>
  <si>
    <t>Lynne Scott</t>
  </si>
  <si>
    <t>937 Tahoe Blvd., Incline Village, NV 89451</t>
  </si>
  <si>
    <t>775-737-5090</t>
  </si>
  <si>
    <t>500 Damonte Ranch Parkway, Suite 820 Reno, NV 89521</t>
  </si>
  <si>
    <t>775-689-8520</t>
  </si>
  <si>
    <t>Percentage Increase</t>
  </si>
  <si>
    <t>Kristi Franco</t>
  </si>
  <si>
    <t>Carson 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</si>
</sst>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[$-409]mmmm\ d\,\ yyyy;@"/>
    <numFmt numFmtId="166" formatCode="0.0%"/>
  </numFmts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 val="double"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10">
    <xf numFmtId="0" fontId="0" fillId="0" borderId="0" xfId="0"/>
    <xf numFmtId="0" fontId="4" fillId="0" borderId="0" xfId="0" applyFont="1" applyAlignment="1" applyProtection="1">
      <alignment horizontal="right"/>
    </xf>
    <xf numFmtId="0" fontId="9" fillId="0" borderId="0" xfId="0" applyFont="1" applyProtection="1"/>
    <xf numFmtId="164" fontId="0" fillId="0" borderId="0" xfId="0" applyNumberFormat="1" applyFont="1" applyProtection="1"/>
    <xf numFmtId="0" fontId="7" fillId="0" borderId="0" xfId="0" applyFont="1" applyAlignment="1" applyProtection="1">
      <alignment vertical="center"/>
    </xf>
    <xf numFmtId="0" fontId="0" fillId="0" borderId="8" xfId="0" applyBorder="1"/>
    <xf numFmtId="164" fontId="0" fillId="0" borderId="0" xfId="0" applyNumberFormat="1" applyBorder="1"/>
    <xf numFmtId="0" fontId="0" fillId="0" borderId="0" xfId="0" applyBorder="1"/>
    <xf numFmtId="164" fontId="0" fillId="0" borderId="9" xfId="0" applyNumberFormat="1" applyBorder="1"/>
    <xf numFmtId="0" fontId="0" fillId="0" borderId="9" xfId="0" applyBorder="1"/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4" fillId="0" borderId="0" xfId="0" applyNumberFormat="1" applyFont="1" applyBorder="1"/>
    <xf numFmtId="0" fontId="4" fillId="0" borderId="9" xfId="0" applyFont="1" applyBorder="1"/>
    <xf numFmtId="164" fontId="0" fillId="0" borderId="8" xfId="0" applyNumberFormat="1" applyBorder="1"/>
    <xf numFmtId="9" fontId="4" fillId="0" borderId="9" xfId="0" applyNumberFormat="1" applyFont="1" applyBorder="1" applyAlignment="1">
      <alignment horizontal="left"/>
    </xf>
    <xf numFmtId="164" fontId="0" fillId="0" borderId="2" xfId="0" applyNumberFormat="1" applyBorder="1"/>
    <xf numFmtId="164" fontId="0" fillId="0" borderId="3" xfId="0" applyNumberFormat="1" applyBorder="1"/>
    <xf numFmtId="164" fontId="0" fillId="0" borderId="3" xfId="0" applyNumberForma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0" xfId="0" applyBorder="1" applyAlignment="1">
      <alignment horizontal="right"/>
    </xf>
    <xf numFmtId="164" fontId="0" fillId="0" borderId="9" xfId="0" applyNumberFormat="1" applyBorder="1" applyAlignment="1">
      <alignment horizontal="right"/>
    </xf>
    <xf numFmtId="164" fontId="0" fillId="0" borderId="0" xfId="0" applyNumberFormat="1" applyBorder="1" applyAlignment="1">
      <alignment horizontal="left"/>
    </xf>
    <xf numFmtId="0" fontId="0" fillId="0" borderId="2" xfId="0" applyBorder="1"/>
    <xf numFmtId="164" fontId="0" fillId="0" borderId="3" xfId="0" applyNumberFormat="1" applyBorder="1" applyAlignment="1">
      <alignment horizontal="left"/>
    </xf>
    <xf numFmtId="0" fontId="4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/>
    <xf numFmtId="0" fontId="4" fillId="0" borderId="0" xfId="0" applyFont="1" applyAlignment="1" applyProtection="1">
      <alignment horizontal="left"/>
    </xf>
    <xf numFmtId="164" fontId="4" fillId="0" borderId="0" xfId="0" applyNumberFormat="1" applyFont="1" applyAlignment="1" applyProtection="1">
      <alignment horizontal="right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right"/>
    </xf>
    <xf numFmtId="0" fontId="2" fillId="0" borderId="0" xfId="0" applyFont="1" applyFill="1" applyBorder="1" applyAlignment="1" applyProtection="1">
      <alignment horizontal="right" vertical="center"/>
    </xf>
    <xf numFmtId="164" fontId="2" fillId="0" borderId="0" xfId="0" applyNumberFormat="1" applyFont="1" applyFill="1" applyBorder="1" applyAlignment="1" applyProtection="1">
      <alignment vertical="center"/>
    </xf>
    <xf numFmtId="44" fontId="2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/>
    </xf>
    <xf numFmtId="165" fontId="9" fillId="0" borderId="1" xfId="0" applyNumberFormat="1" applyFont="1" applyBorder="1" applyAlignment="1" applyProtection="1">
      <alignment horizontal="right"/>
    </xf>
    <xf numFmtId="165" fontId="9" fillId="0" borderId="0" xfId="0" applyNumberFormat="1" applyFont="1" applyBorder="1" applyAlignment="1" applyProtection="1">
      <alignment horizontal="right"/>
    </xf>
    <xf numFmtId="22" fontId="9" fillId="0" borderId="1" xfId="0" applyNumberFormat="1" applyFont="1" applyFill="1" applyBorder="1" applyAlignment="1" applyProtection="1">
      <alignment horizontal="right"/>
      <protection locked="0"/>
    </xf>
    <xf numFmtId="0" fontId="0" fillId="0" borderId="0" xfId="0" applyFont="1" applyAlignment="1" applyProtection="1"/>
    <xf numFmtId="0" fontId="0" fillId="0" borderId="9" xfId="0" applyBorder="1" applyAlignment="1">
      <alignment horizontal="center"/>
    </xf>
    <xf numFmtId="0" fontId="12" fillId="0" borderId="0" xfId="0" applyFont="1" applyFill="1" applyBorder="1" applyAlignment="1" applyProtection="1">
      <alignment horizontal="right" vertical="center"/>
    </xf>
    <xf numFmtId="164" fontId="0" fillId="0" borderId="0" xfId="0" applyNumberFormat="1" applyBorder="1" applyAlignment="1">
      <alignment horizontal="center"/>
    </xf>
    <xf numFmtId="44" fontId="2" fillId="0" borderId="13" xfId="0" applyNumberFormat="1" applyFont="1" applyFill="1" applyBorder="1" applyAlignment="1" applyProtection="1">
      <alignment horizontal="right" vertical="center"/>
    </xf>
    <xf numFmtId="0" fontId="2" fillId="0" borderId="13" xfId="0" applyFont="1" applyFill="1" applyBorder="1" applyAlignment="1" applyProtection="1">
      <alignment vertical="center"/>
    </xf>
    <xf numFmtId="44" fontId="13" fillId="0" borderId="13" xfId="0" applyNumberFormat="1" applyFont="1" applyFill="1" applyBorder="1" applyAlignment="1" applyProtection="1">
      <alignment horizontal="right" vertical="center"/>
    </xf>
    <xf numFmtId="0" fontId="13" fillId="0" borderId="13" xfId="0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/>
    </xf>
    <xf numFmtId="0" fontId="0" fillId="0" borderId="0" xfId="0" applyFont="1" applyProtection="1"/>
    <xf numFmtId="0" fontId="1" fillId="0" borderId="10" xfId="0" applyFont="1" applyBorder="1" applyAlignment="1" applyProtection="1">
      <alignment horizontal="right"/>
    </xf>
    <xf numFmtId="164" fontId="1" fillId="0" borderId="10" xfId="0" applyNumberFormat="1" applyFont="1" applyFill="1" applyBorder="1" applyAlignment="1" applyProtection="1">
      <alignment horizontal="left" vertical="center"/>
    </xf>
    <xf numFmtId="164" fontId="1" fillId="0" borderId="10" xfId="0" applyNumberFormat="1" applyFont="1" applyFill="1" applyBorder="1" applyAlignment="1" applyProtection="1">
      <alignment horizontal="left" vertical="center"/>
      <protection locked="0"/>
    </xf>
    <xf numFmtId="0" fontId="1" fillId="0" borderId="1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Alignment="1" applyProtection="1">
      <alignment horizontal="right"/>
    </xf>
    <xf numFmtId="164" fontId="14" fillId="0" borderId="0" xfId="0" applyNumberFormat="1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horizontal="right" vertical="center"/>
    </xf>
    <xf numFmtId="7" fontId="1" fillId="0" borderId="10" xfId="0" applyNumberFormat="1" applyFont="1" applyFill="1" applyBorder="1" applyAlignment="1" applyProtection="1">
      <alignment horizontal="left" vertical="center"/>
      <protection locked="0"/>
    </xf>
    <xf numFmtId="44" fontId="14" fillId="0" borderId="0" xfId="0" applyNumberFormat="1" applyFont="1" applyFill="1" applyBorder="1" applyAlignment="1" applyProtection="1">
      <alignment horizontal="right" vertical="center"/>
    </xf>
    <xf numFmtId="7" fontId="14" fillId="0" borderId="0" xfId="0" applyNumberFormat="1" applyFont="1" applyFill="1" applyBorder="1" applyAlignment="1" applyProtection="1">
      <alignment horizontal="left" vertical="center"/>
    </xf>
    <xf numFmtId="0" fontId="14" fillId="0" borderId="0" xfId="0" applyFont="1" applyProtection="1"/>
    <xf numFmtId="44" fontId="1" fillId="0" borderId="10" xfId="0" applyNumberFormat="1" applyFont="1" applyFill="1" applyBorder="1" applyAlignment="1" applyProtection="1">
      <alignment horizontal="right" vertical="center"/>
    </xf>
    <xf numFmtId="7" fontId="1" fillId="0" borderId="10" xfId="0" applyNumberFormat="1" applyFont="1" applyFill="1" applyBorder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left"/>
    </xf>
    <xf numFmtId="22" fontId="9" fillId="0" borderId="0" xfId="0" applyNumberFormat="1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left"/>
    </xf>
    <xf numFmtId="164" fontId="9" fillId="0" borderId="0" xfId="0" applyNumberFormat="1" applyFont="1" applyFill="1" applyBorder="1" applyAlignment="1" applyProtection="1">
      <alignment horizontal="center"/>
    </xf>
    <xf numFmtId="44" fontId="2" fillId="0" borderId="0" xfId="0" applyNumberFormat="1" applyFont="1" applyFill="1" applyBorder="1" applyAlignment="1" applyProtection="1">
      <alignment horizontal="left" vertical="center"/>
    </xf>
    <xf numFmtId="9" fontId="14" fillId="0" borderId="0" xfId="0" applyNumberFormat="1" applyFont="1" applyFill="1" applyBorder="1" applyAlignment="1" applyProtection="1">
      <alignment horizontal="center" vertical="center"/>
    </xf>
    <xf numFmtId="10" fontId="2" fillId="0" borderId="0" xfId="0" applyNumberFormat="1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right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166" fontId="1" fillId="0" borderId="10" xfId="0" applyNumberFormat="1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9" fontId="0" fillId="0" borderId="2" xfId="0" applyNumberFormat="1" applyBorder="1"/>
    <xf numFmtId="0" fontId="10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0" fontId="0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right" vertical="center" wrapText="1"/>
    </xf>
    <xf numFmtId="7" fontId="13" fillId="0" borderId="13" xfId="0" applyNumberFormat="1" applyFont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9" fillId="0" borderId="11" xfId="0" applyFont="1" applyFill="1" applyBorder="1" applyAlignment="1" applyProtection="1">
      <alignment horizontal="center"/>
      <protection locked="0"/>
    </xf>
    <xf numFmtId="0" fontId="9" fillId="0" borderId="12" xfId="0" applyFont="1" applyFill="1" applyBorder="1" applyAlignment="1" applyProtection="1">
      <alignment horizontal="center"/>
      <protection locked="0"/>
    </xf>
    <xf numFmtId="0" fontId="3" fillId="0" borderId="11" xfId="0" applyFont="1" applyFill="1" applyBorder="1" applyAlignment="1" applyProtection="1">
      <alignment horizontal="center"/>
      <protection locked="0"/>
    </xf>
    <xf numFmtId="0" fontId="3" fillId="0" borderId="12" xfId="0" applyFont="1" applyFill="1" applyBorder="1" applyAlignment="1" applyProtection="1">
      <alignment horizontal="center"/>
      <protection locked="0"/>
    </xf>
    <xf numFmtId="164" fontId="9" fillId="0" borderId="11" xfId="0" applyNumberFormat="1" applyFont="1" applyFill="1" applyBorder="1" applyAlignment="1" applyProtection="1">
      <alignment horizontal="center"/>
      <protection locked="0"/>
    </xf>
    <xf numFmtId="164" fontId="9" fillId="0" borderId="12" xfId="0" applyNumberFormat="1" applyFont="1" applyFill="1" applyBorder="1" applyAlignment="1" applyProtection="1">
      <alignment horizontal="center"/>
      <protection locked="0"/>
    </xf>
    <xf numFmtId="164" fontId="2" fillId="0" borderId="13" xfId="0" applyNumberFormat="1" applyFont="1" applyFill="1" applyBorder="1" applyAlignment="1" applyProtection="1">
      <alignment horizontal="center" vertical="center"/>
    </xf>
    <xf numFmtId="7" fontId="2" fillId="0" borderId="13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5"/>
  <sheetViews>
    <sheetView tabSelected="1" view="pageLayout" zoomScale="116" zoomScaleNormal="100" zoomScalePageLayoutView="116" workbookViewId="0">
      <selection activeCell="A11" sqref="A11"/>
    </sheetView>
  </sheetViews>
  <sheetFormatPr baseColWidth="10" defaultColWidth="10.83203125" defaultRowHeight="16" x14ac:dyDescent="0.2"/>
  <cols>
    <col min="1" max="1" width="21.83203125" style="53" customWidth="1"/>
    <col min="2" max="2" width="1.5" style="53" customWidth="1"/>
    <col min="3" max="3" width="17.6640625" style="53" customWidth="1"/>
    <col min="4" max="4" width="3" style="53" customWidth="1"/>
    <col min="5" max="5" width="17.6640625" style="53" customWidth="1"/>
    <col min="6" max="6" width="1.5" style="53" customWidth="1"/>
    <col min="7" max="7" width="5" style="53" customWidth="1"/>
    <col min="8" max="8" width="16.83203125" style="53" customWidth="1"/>
    <col min="9" max="9" width="14.6640625" style="53" customWidth="1"/>
    <col min="10" max="10" width="12.83203125" style="53" hidden="1" customWidth="1"/>
    <col min="11" max="16384" width="10.83203125" style="53"/>
  </cols>
  <sheetData>
    <row r="1" spans="1:10" ht="24" x14ac:dyDescent="0.3">
      <c r="A1" s="85" t="s">
        <v>40</v>
      </c>
      <c r="B1" s="85"/>
      <c r="C1" s="85"/>
      <c r="D1" s="85"/>
      <c r="E1" s="85"/>
      <c r="F1" s="85"/>
      <c r="G1" s="85"/>
      <c r="H1" s="85"/>
    </row>
    <row r="2" spans="1:10" x14ac:dyDescent="0.2">
      <c r="A2" s="86" t="str">
        <f>IF($A$11=Sheet2!B60,Sheet2!C60,IF($A$11=Sheet2!B61,Sheet2!C61,IF($A$11=Sheet2!B62,Sheet2!C62,IF($A$11=Sheet2!B63,Sheet2!C63,IF($A$11=Sheet2!B64,Sheet2!C64,IF($A$11=Sheet2!B65,Sheet2!C65,IF($A$11=Sheet2!B67,Sheet2!C67,IF($A$11=Sheet2!B68,Sheet2!C68,IF($A$11=Sheet2!B69,Sheet2!C69,IF($A$11=Sheet2!B72,Sheet2!C72,IF($A$11=Sheet2!B70,Sheet2!C70,IF($A$11=Sheet2!B71,Sheet2!C71,IF($A$11=Sheet2!B66,Sheet2!C66,IF($A$11=Sheet2!B73,Sheet2!C73,IF($A$11=Sheet2!#REF!,Sheet2!#REF!,IF($A$11=Sheet2!B74,Sheet2!C74,"1450 Ridgeview Drive, Suite 100 Reno, NV 89519"))))))))))))))))</f>
        <v>896 West Nye Lane, Suite 104 Carson City, NV 89703</v>
      </c>
      <c r="B2" s="86"/>
      <c r="C2" s="86"/>
      <c r="D2" s="86"/>
      <c r="E2" s="86"/>
      <c r="F2" s="86"/>
      <c r="G2" s="86"/>
      <c r="H2" s="86"/>
    </row>
    <row r="3" spans="1:10" x14ac:dyDescent="0.2">
      <c r="A3" s="36" t="s">
        <v>73</v>
      </c>
      <c r="B3" s="44"/>
      <c r="C3" s="44" t="str">
        <f>IF($A$11=Sheet2!B60,Sheet2!D60,IF($A$11=Sheet2!B61,Sheet2!D61,IF($A$11=Sheet2!B62,Sheet2!D62,IF($A$11=Sheet2!B63,Sheet2!D63,IF($A$11=Sheet2!B64,Sheet2!D64,IF($A$11=Sheet2!B65,Sheet2!D65,IF($A$11=Sheet2!B67,Sheet2!D67,IF($A$11=Sheet2!B68,Sheet2!D68,IF($A$11=Sheet2!B69,Sheet2!D69,IF($A$11=Sheet2!B72,Sheet2!D72,IF($A$11=Sheet2!B70,Sheet2!D70,IF($A$11=Sheet2!B71,Sheet2!D71,IF($A$11=Sheet2!B66,Sheet2!D66,IF($A$11=Sheet2!B73,Sheet2!D73,IF($A$11=Sheet2!#REF!,Sheet2!#REF!,IF($A$11=Sheet2!B74,Sheet2!D74,"775-689-8510"))))))))))))))))</f>
        <v>775-841-6580</v>
      </c>
      <c r="D3" s="44"/>
      <c r="E3" s="36" t="str">
        <f>IF($A$11=Sheet2!B60,Sheet2!E60,IF($A$11=Sheet2!B61,Sheet2!E61,IF($A$11=Sheet2!B62,Sheet2!E62,IF($A$11=Sheet2!B63,Sheet2!E63,IF($A$11=Sheet2!B64,Sheet2!E64,IF($A$11=Sheet2!B65,Sheet2!E65,IF($A$11=Sheet2!B67,Sheet2!E67,IF($A$11=Sheet2!B68,Sheet2!E68,IF($A$11=Sheet2!B69,Sheet2!E69,IF($A$11=Sheet2!B72,Sheet2!E72,IF($A$11=Sheet2!B70,Sheet2!E70,IF($A$11=Sheet2!B71,Sheet2!E71,IF($A$11=Sheet2!B66,Sheet2!E66,IF($A$11=Sheet2!B73,Sheet2!E73,IF($A$11=Sheet2!#REF!,Sheet2!#REF!,IF($A$11=Sheet2!B74,Sheet2!E74,"775-689-8520"))))))))))))))))</f>
        <v>775-507-3995</v>
      </c>
      <c r="F3" s="44"/>
      <c r="G3" s="87" t="s">
        <v>74</v>
      </c>
      <c r="H3" s="87"/>
    </row>
    <row r="4" spans="1:10" ht="3.75" customHeight="1" x14ac:dyDescent="0.2">
      <c r="A4" s="52"/>
      <c r="B4" s="52"/>
      <c r="C4" s="52"/>
      <c r="D4" s="52"/>
      <c r="E4" s="52"/>
      <c r="F4" s="52"/>
      <c r="G4" s="52"/>
    </row>
    <row r="5" spans="1:10" ht="25" customHeight="1" x14ac:dyDescent="0.3">
      <c r="A5" s="88" t="s">
        <v>32</v>
      </c>
      <c r="B5" s="88"/>
      <c r="C5" s="88"/>
      <c r="D5" s="88"/>
      <c r="E5" s="88"/>
      <c r="F5" s="88"/>
      <c r="G5" s="88"/>
      <c r="H5" s="88"/>
    </row>
    <row r="6" spans="1:10" ht="4" customHeight="1" thickBot="1" x14ac:dyDescent="0.25"/>
    <row r="7" spans="1:10" ht="17" thickBot="1" x14ac:dyDescent="0.25">
      <c r="A7" s="41">
        <f ca="1">TODAY()</f>
        <v>44656</v>
      </c>
      <c r="B7" s="69"/>
      <c r="C7" s="1" t="s">
        <v>0</v>
      </c>
      <c r="E7" s="32" t="s">
        <v>19</v>
      </c>
      <c r="F7" s="2"/>
      <c r="G7" s="93" t="s">
        <v>14</v>
      </c>
      <c r="H7" s="94"/>
    </row>
    <row r="8" spans="1:10" ht="3.75" customHeight="1" thickBot="1" x14ac:dyDescent="0.25">
      <c r="A8" s="42"/>
      <c r="B8" s="69"/>
      <c r="C8" s="1"/>
      <c r="E8" s="32"/>
      <c r="F8" s="2"/>
      <c r="G8" s="70"/>
    </row>
    <row r="9" spans="1:10" ht="17" thickBot="1" x14ac:dyDescent="0.25">
      <c r="A9" s="43"/>
      <c r="B9" s="69"/>
      <c r="C9" s="1" t="s">
        <v>18</v>
      </c>
      <c r="E9" s="32" t="s">
        <v>1</v>
      </c>
      <c r="F9" s="2"/>
      <c r="G9" s="95" t="s">
        <v>17</v>
      </c>
      <c r="H9" s="96"/>
    </row>
    <row r="10" spans="1:10" ht="3.75" customHeight="1" thickBot="1" x14ac:dyDescent="0.25">
      <c r="A10" s="71"/>
      <c r="B10" s="69"/>
      <c r="C10" s="1"/>
      <c r="E10" s="32"/>
      <c r="F10" s="2"/>
      <c r="G10" s="72"/>
    </row>
    <row r="11" spans="1:10" ht="17" thickBot="1" x14ac:dyDescent="0.25">
      <c r="A11" s="77" t="s">
        <v>106</v>
      </c>
      <c r="B11" s="73"/>
      <c r="C11" s="33" t="s">
        <v>33</v>
      </c>
      <c r="E11" s="32" t="s">
        <v>2</v>
      </c>
      <c r="F11" s="2"/>
      <c r="G11" s="97">
        <v>123456</v>
      </c>
      <c r="H11" s="98"/>
      <c r="J11" s="3">
        <f>ROUNDUP(G11,-3)</f>
        <v>124000</v>
      </c>
    </row>
    <row r="12" spans="1:10" ht="7.5" customHeight="1" x14ac:dyDescent="0.2">
      <c r="A12" s="28"/>
      <c r="B12" s="29"/>
      <c r="C12" s="29"/>
      <c r="D12" s="29"/>
      <c r="E12" s="28"/>
      <c r="F12" s="30"/>
      <c r="G12" s="28"/>
    </row>
    <row r="13" spans="1:10" ht="15" customHeight="1" x14ac:dyDescent="0.2">
      <c r="A13" s="46" t="s">
        <v>34</v>
      </c>
      <c r="B13" s="35"/>
      <c r="D13" s="35"/>
      <c r="E13" s="35"/>
      <c r="F13" s="35"/>
    </row>
    <row r="14" spans="1:10" ht="12" customHeight="1" x14ac:dyDescent="0.2">
      <c r="A14" s="34"/>
      <c r="B14" s="35"/>
      <c r="C14" s="54" t="s">
        <v>35</v>
      </c>
      <c r="D14" s="58"/>
      <c r="E14" s="55">
        <f>G11</f>
        <v>123456</v>
      </c>
      <c r="F14" s="35"/>
      <c r="G14" s="3"/>
    </row>
    <row r="15" spans="1:10" ht="3.75" customHeight="1" x14ac:dyDescent="0.2">
      <c r="A15" s="34"/>
      <c r="B15" s="35"/>
      <c r="C15" s="59"/>
      <c r="D15" s="58"/>
      <c r="E15" s="60"/>
      <c r="F15" s="35"/>
      <c r="G15" s="3"/>
    </row>
    <row r="16" spans="1:10" ht="12" customHeight="1" x14ac:dyDescent="0.2">
      <c r="A16" s="34"/>
      <c r="B16" s="35"/>
      <c r="C16" s="54" t="s">
        <v>36</v>
      </c>
      <c r="D16" s="58"/>
      <c r="E16" s="55">
        <f>E14*G16</f>
        <v>4320.96</v>
      </c>
      <c r="F16" s="35"/>
      <c r="G16" s="79">
        <v>3.5000000000000003E-2</v>
      </c>
      <c r="H16" s="53" t="s">
        <v>83</v>
      </c>
      <c r="I16" s="3"/>
    </row>
    <row r="17" spans="1:8" ht="3.75" customHeight="1" x14ac:dyDescent="0.2">
      <c r="A17" s="34"/>
      <c r="B17" s="35"/>
      <c r="C17" s="59"/>
      <c r="D17" s="58"/>
      <c r="E17" s="60"/>
      <c r="F17" s="35"/>
      <c r="G17" s="3"/>
    </row>
    <row r="18" spans="1:8" ht="12" customHeight="1" x14ac:dyDescent="0.2">
      <c r="A18" s="34"/>
      <c r="B18" s="35"/>
      <c r="C18" s="54" t="s">
        <v>37</v>
      </c>
      <c r="D18" s="58"/>
      <c r="E18" s="56"/>
      <c r="F18" s="35"/>
      <c r="G18" s="3"/>
    </row>
    <row r="19" spans="1:8" ht="3.75" customHeight="1" x14ac:dyDescent="0.2">
      <c r="A19" s="34"/>
      <c r="B19" s="35"/>
      <c r="C19" s="59"/>
      <c r="D19" s="58"/>
      <c r="E19" s="60"/>
      <c r="F19" s="35"/>
      <c r="G19" s="3"/>
    </row>
    <row r="20" spans="1:8" ht="12" customHeight="1" x14ac:dyDescent="0.2">
      <c r="A20" s="34"/>
      <c r="B20" s="35"/>
      <c r="C20" s="54" t="s">
        <v>3</v>
      </c>
      <c r="D20" s="58"/>
      <c r="E20" s="56"/>
      <c r="F20" s="35"/>
      <c r="G20" s="3"/>
    </row>
    <row r="21" spans="1:8" ht="3.75" customHeight="1" x14ac:dyDescent="0.2">
      <c r="A21" s="34"/>
      <c r="B21" s="35"/>
      <c r="C21" s="59"/>
      <c r="D21" s="58"/>
      <c r="E21" s="60"/>
      <c r="F21" s="35"/>
      <c r="G21" s="3"/>
    </row>
    <row r="22" spans="1:8" ht="12" customHeight="1" x14ac:dyDescent="0.2">
      <c r="A22" s="34"/>
      <c r="B22" s="35"/>
      <c r="C22" s="57" t="s">
        <v>4</v>
      </c>
      <c r="D22" s="58"/>
      <c r="E22" s="56"/>
      <c r="F22" s="35"/>
      <c r="G22" s="38"/>
    </row>
    <row r="23" spans="1:8" ht="3.75" customHeight="1" x14ac:dyDescent="0.2">
      <c r="A23" s="34"/>
      <c r="B23" s="35"/>
      <c r="C23" s="61"/>
      <c r="D23" s="58"/>
      <c r="E23" s="60"/>
      <c r="F23" s="35"/>
      <c r="G23" s="38"/>
    </row>
    <row r="24" spans="1:8" ht="12" customHeight="1" x14ac:dyDescent="0.2">
      <c r="A24" s="34"/>
      <c r="B24" s="35"/>
      <c r="C24" s="57" t="s">
        <v>5</v>
      </c>
      <c r="D24" s="58"/>
      <c r="E24" s="56"/>
      <c r="F24" s="35"/>
      <c r="G24" s="38"/>
    </row>
    <row r="25" spans="1:8" ht="3.75" customHeight="1" x14ac:dyDescent="0.2">
      <c r="A25" s="34"/>
      <c r="B25" s="35"/>
      <c r="C25" s="35"/>
      <c r="D25" s="35"/>
      <c r="E25" s="39"/>
      <c r="F25" s="35"/>
      <c r="G25" s="38"/>
    </row>
    <row r="26" spans="1:8" ht="15" customHeight="1" thickBot="1" x14ac:dyDescent="0.25">
      <c r="A26" s="34"/>
      <c r="B26" s="35"/>
      <c r="C26" s="35"/>
      <c r="D26" s="35"/>
      <c r="E26" s="48" t="s">
        <v>38</v>
      </c>
      <c r="F26" s="49"/>
      <c r="G26" s="99">
        <f>SUM(E16:E24)</f>
        <v>4320.96</v>
      </c>
      <c r="H26" s="99"/>
    </row>
    <row r="27" spans="1:8" ht="3.75" customHeight="1" thickTop="1" x14ac:dyDescent="0.2">
      <c r="A27" s="34"/>
      <c r="B27" s="35"/>
      <c r="C27" s="35"/>
      <c r="D27" s="35"/>
      <c r="E27" s="35"/>
      <c r="F27" s="35"/>
      <c r="G27" s="38"/>
    </row>
    <row r="28" spans="1:8" ht="15" customHeight="1" x14ac:dyDescent="0.2">
      <c r="A28" s="46" t="s">
        <v>6</v>
      </c>
      <c r="B28" s="35"/>
      <c r="C28" s="35"/>
      <c r="D28" s="35"/>
      <c r="E28" s="35"/>
      <c r="F28" s="35"/>
      <c r="G28" s="38"/>
    </row>
    <row r="29" spans="1:8" ht="12" customHeight="1" x14ac:dyDescent="0.2">
      <c r="A29" s="34"/>
      <c r="B29" s="35"/>
      <c r="C29" s="57" t="s">
        <v>95</v>
      </c>
      <c r="D29" s="58"/>
      <c r="E29" s="62"/>
      <c r="F29" s="35"/>
      <c r="G29" s="38"/>
    </row>
    <row r="30" spans="1:8" ht="3.75" customHeight="1" x14ac:dyDescent="0.2">
      <c r="A30" s="34"/>
      <c r="B30" s="35"/>
      <c r="C30" s="61"/>
      <c r="D30" s="58"/>
      <c r="E30" s="64"/>
      <c r="F30" s="35"/>
      <c r="G30" s="38"/>
    </row>
    <row r="31" spans="1:8" ht="12" customHeight="1" x14ac:dyDescent="0.2">
      <c r="A31" s="34"/>
      <c r="B31" s="35"/>
      <c r="C31" s="57" t="s">
        <v>7</v>
      </c>
      <c r="D31" s="58"/>
      <c r="E31" s="62"/>
      <c r="F31" s="35"/>
      <c r="G31" s="38"/>
    </row>
    <row r="32" spans="1:8" ht="3.75" customHeight="1" x14ac:dyDescent="0.2">
      <c r="A32" s="34"/>
      <c r="B32" s="35"/>
      <c r="C32" s="61"/>
      <c r="D32" s="58"/>
      <c r="E32" s="64"/>
      <c r="F32" s="35"/>
      <c r="G32" s="38"/>
    </row>
    <row r="33" spans="1:8" ht="12" customHeight="1" x14ac:dyDescent="0.2">
      <c r="A33" s="34"/>
      <c r="B33" s="35"/>
      <c r="C33" s="57" t="s">
        <v>8</v>
      </c>
      <c r="D33" s="58"/>
      <c r="E33" s="62"/>
      <c r="F33" s="35"/>
      <c r="G33" s="38"/>
    </row>
    <row r="34" spans="1:8" ht="3.75" customHeight="1" x14ac:dyDescent="0.2">
      <c r="A34" s="34"/>
      <c r="B34" s="35"/>
      <c r="C34" s="61"/>
      <c r="D34" s="58"/>
      <c r="E34" s="64"/>
      <c r="F34" s="35"/>
      <c r="G34" s="38"/>
    </row>
    <row r="35" spans="1:8" ht="12" customHeight="1" x14ac:dyDescent="0.2">
      <c r="A35" s="34"/>
      <c r="B35" s="35"/>
      <c r="C35" s="57" t="s">
        <v>9</v>
      </c>
      <c r="D35" s="58"/>
      <c r="E35" s="62"/>
      <c r="F35" s="35"/>
      <c r="G35" s="38"/>
    </row>
    <row r="36" spans="1:8" ht="3.75" customHeight="1" x14ac:dyDescent="0.2">
      <c r="A36" s="34"/>
      <c r="B36" s="35"/>
      <c r="C36" s="61"/>
      <c r="D36" s="58"/>
      <c r="E36" s="64"/>
      <c r="F36" s="35"/>
      <c r="G36" s="38"/>
    </row>
    <row r="37" spans="1:8" ht="12" customHeight="1" x14ac:dyDescent="0.2">
      <c r="A37" s="34"/>
      <c r="B37" s="35"/>
      <c r="C37" s="57" t="s">
        <v>10</v>
      </c>
      <c r="D37" s="58"/>
      <c r="E37" s="62"/>
      <c r="F37" s="35"/>
      <c r="G37" s="38"/>
    </row>
    <row r="38" spans="1:8" ht="3.75" customHeight="1" x14ac:dyDescent="0.2">
      <c r="A38" s="34"/>
      <c r="B38" s="35"/>
      <c r="C38" s="61"/>
      <c r="D38" s="58"/>
      <c r="E38" s="64"/>
      <c r="F38" s="35"/>
      <c r="G38" s="38"/>
    </row>
    <row r="39" spans="1:8" ht="12" customHeight="1" x14ac:dyDescent="0.2">
      <c r="A39" s="34"/>
      <c r="B39" s="35"/>
      <c r="C39" s="57" t="s">
        <v>11</v>
      </c>
      <c r="D39" s="58"/>
      <c r="E39" s="62"/>
      <c r="F39" s="35"/>
      <c r="G39" s="38"/>
    </row>
    <row r="40" spans="1:8" ht="3.75" customHeight="1" x14ac:dyDescent="0.2">
      <c r="A40" s="34"/>
      <c r="B40" s="35"/>
      <c r="C40" s="37"/>
      <c r="D40" s="35"/>
      <c r="E40" s="74"/>
      <c r="F40" s="35"/>
      <c r="G40" s="38"/>
    </row>
    <row r="41" spans="1:8" ht="15" customHeight="1" thickBot="1" x14ac:dyDescent="0.25">
      <c r="A41" s="34"/>
      <c r="B41" s="92"/>
      <c r="C41" s="92"/>
      <c r="D41" s="92"/>
      <c r="E41" s="48" t="s">
        <v>38</v>
      </c>
      <c r="F41" s="49"/>
      <c r="G41" s="99">
        <f>SUM(E29:E39)</f>
        <v>0</v>
      </c>
      <c r="H41" s="99"/>
    </row>
    <row r="42" spans="1:8" ht="3.75" customHeight="1" thickTop="1" x14ac:dyDescent="0.2">
      <c r="A42" s="34"/>
      <c r="B42" s="35"/>
      <c r="C42" s="35"/>
      <c r="D42" s="35"/>
      <c r="E42" s="39"/>
      <c r="F42" s="35"/>
      <c r="G42" s="35"/>
    </row>
    <row r="43" spans="1:8" ht="15" customHeight="1" x14ac:dyDescent="0.2">
      <c r="A43" s="46" t="s">
        <v>12</v>
      </c>
      <c r="B43" s="35"/>
      <c r="C43" s="35"/>
      <c r="D43" s="34"/>
      <c r="E43" s="35"/>
      <c r="F43" s="35"/>
      <c r="G43" s="35"/>
    </row>
    <row r="44" spans="1:8" ht="12" customHeight="1" x14ac:dyDescent="0.2">
      <c r="A44" s="34"/>
      <c r="B44" s="35"/>
      <c r="C44" s="66" t="s">
        <v>20</v>
      </c>
      <c r="D44" s="75"/>
      <c r="E44" s="67">
        <f>Sheet2!G46</f>
        <v>896.5</v>
      </c>
      <c r="F44" s="35"/>
      <c r="G44" s="78" t="s">
        <v>86</v>
      </c>
      <c r="H44" s="35" t="s">
        <v>15</v>
      </c>
    </row>
    <row r="45" spans="1:8" ht="3.75" customHeight="1" x14ac:dyDescent="0.2">
      <c r="A45" s="34"/>
      <c r="B45" s="35"/>
      <c r="C45" s="63"/>
      <c r="D45" s="75"/>
      <c r="E45" s="64"/>
      <c r="F45" s="35"/>
      <c r="G45" s="35"/>
    </row>
    <row r="46" spans="1:8" ht="12" customHeight="1" x14ac:dyDescent="0.2">
      <c r="A46" s="34"/>
      <c r="B46" s="35"/>
      <c r="C46" s="57" t="s">
        <v>13</v>
      </c>
      <c r="D46" s="75"/>
      <c r="E46" s="67">
        <f>Sheet2!E56</f>
        <v>254.19999999999996</v>
      </c>
      <c r="F46" s="35"/>
      <c r="G46" s="78" t="s">
        <v>85</v>
      </c>
      <c r="H46" s="35" t="s">
        <v>15</v>
      </c>
    </row>
    <row r="47" spans="1:8" ht="3.75" customHeight="1" x14ac:dyDescent="0.2">
      <c r="A47" s="34"/>
      <c r="B47" s="35"/>
      <c r="C47" s="63"/>
      <c r="D47" s="75"/>
      <c r="E47" s="64"/>
      <c r="F47" s="35"/>
      <c r="G47" s="35"/>
    </row>
    <row r="48" spans="1:8" ht="12" customHeight="1" x14ac:dyDescent="0.2">
      <c r="A48" s="34"/>
      <c r="B48" s="35"/>
      <c r="C48" s="57" t="s">
        <v>88</v>
      </c>
      <c r="D48" s="75"/>
      <c r="E48" s="67">
        <f>Sheet2!G27</f>
        <v>384.09999999999997</v>
      </c>
      <c r="F48" s="35"/>
      <c r="G48" s="35"/>
    </row>
    <row r="49" spans="1:10" ht="3.75" customHeight="1" x14ac:dyDescent="0.2">
      <c r="A49" s="34"/>
      <c r="B49" s="35"/>
      <c r="C49" s="61"/>
      <c r="D49" s="75"/>
      <c r="E49" s="64"/>
      <c r="F49" s="35"/>
      <c r="G49" s="35"/>
    </row>
    <row r="50" spans="1:10" ht="12" customHeight="1" x14ac:dyDescent="0.2">
      <c r="A50" s="34"/>
      <c r="B50" s="35"/>
      <c r="C50" s="57" t="s">
        <v>89</v>
      </c>
      <c r="D50" s="58"/>
      <c r="E50" s="67">
        <f>IF(G50="yes",Sheet2!G14,0)</f>
        <v>80.064999999999998</v>
      </c>
      <c r="F50" s="35"/>
      <c r="G50" s="78" t="s">
        <v>85</v>
      </c>
      <c r="H50" s="68" t="s">
        <v>90</v>
      </c>
    </row>
    <row r="51" spans="1:10" ht="3.75" customHeight="1" x14ac:dyDescent="0.2">
      <c r="A51" s="34"/>
      <c r="B51" s="35"/>
      <c r="C51" s="61"/>
      <c r="D51" s="58"/>
      <c r="E51" s="64"/>
      <c r="F51" s="35"/>
      <c r="G51" s="35"/>
    </row>
    <row r="52" spans="1:10" ht="12" customHeight="1" x14ac:dyDescent="0.2">
      <c r="A52" s="34"/>
      <c r="B52" s="35"/>
      <c r="C52" s="57" t="s">
        <v>96</v>
      </c>
      <c r="D52" s="58"/>
      <c r="E52" s="67">
        <f>IF(G52="yes",Sheet2!C88,Sheet2!C87)</f>
        <v>15</v>
      </c>
      <c r="F52" s="35"/>
      <c r="G52" s="78" t="s">
        <v>85</v>
      </c>
      <c r="H52" s="35" t="s">
        <v>15</v>
      </c>
    </row>
    <row r="53" spans="1:10" ht="3.75" customHeight="1" x14ac:dyDescent="0.2">
      <c r="A53" s="34"/>
      <c r="B53" s="35"/>
      <c r="C53" s="61"/>
      <c r="D53" s="58"/>
      <c r="E53" s="64"/>
      <c r="F53" s="35"/>
      <c r="G53" s="35"/>
    </row>
    <row r="54" spans="1:10" ht="12" customHeight="1" x14ac:dyDescent="0.2">
      <c r="A54" s="34"/>
      <c r="B54" s="35"/>
      <c r="C54" s="57" t="s">
        <v>92</v>
      </c>
      <c r="D54" s="58"/>
      <c r="E54" s="67">
        <v>200</v>
      </c>
      <c r="F54" s="35"/>
      <c r="G54" s="35"/>
    </row>
    <row r="55" spans="1:10" ht="3.75" customHeight="1" x14ac:dyDescent="0.2">
      <c r="A55" s="34"/>
      <c r="B55" s="35"/>
      <c r="C55" s="61"/>
      <c r="D55" s="75"/>
      <c r="E55" s="64"/>
      <c r="F55" s="35"/>
      <c r="G55" s="35"/>
    </row>
    <row r="56" spans="1:10" ht="12" customHeight="1" x14ac:dyDescent="0.2">
      <c r="A56" s="34"/>
      <c r="B56" s="35"/>
      <c r="C56" s="57" t="s">
        <v>39</v>
      </c>
      <c r="D56" s="58"/>
      <c r="E56" s="67">
        <v>10</v>
      </c>
      <c r="F56" s="35"/>
      <c r="G56" s="35"/>
    </row>
    <row r="57" spans="1:10" ht="3.75" customHeight="1" x14ac:dyDescent="0.2">
      <c r="A57" s="34"/>
      <c r="B57" s="35"/>
      <c r="C57" s="61"/>
      <c r="D57" s="58"/>
      <c r="E57" s="64"/>
      <c r="F57" s="35"/>
      <c r="G57" s="35"/>
    </row>
    <row r="58" spans="1:10" ht="12" customHeight="1" x14ac:dyDescent="0.2">
      <c r="A58" s="34"/>
      <c r="B58" s="35"/>
      <c r="C58" s="57" t="s">
        <v>80</v>
      </c>
      <c r="D58" s="58"/>
      <c r="E58" s="67">
        <v>46</v>
      </c>
      <c r="F58" s="35"/>
      <c r="G58" s="35"/>
    </row>
    <row r="59" spans="1:10" ht="3.75" customHeight="1" x14ac:dyDescent="0.2">
      <c r="A59" s="34"/>
      <c r="B59" s="35"/>
      <c r="C59" s="61"/>
      <c r="D59" s="58"/>
      <c r="E59" s="64"/>
      <c r="F59" s="35"/>
      <c r="G59" s="35"/>
    </row>
    <row r="60" spans="1:10" ht="12" customHeight="1" x14ac:dyDescent="0.2">
      <c r="A60" s="34"/>
      <c r="B60" s="35"/>
      <c r="C60" s="57" t="s">
        <v>81</v>
      </c>
      <c r="D60" s="58"/>
      <c r="E60" s="67">
        <v>46</v>
      </c>
      <c r="F60" s="35"/>
      <c r="G60" s="35"/>
    </row>
    <row r="61" spans="1:10" ht="3.75" customHeight="1" x14ac:dyDescent="0.2">
      <c r="A61" s="34"/>
      <c r="B61" s="35"/>
      <c r="C61" s="61"/>
      <c r="D61" s="58"/>
      <c r="E61" s="64"/>
      <c r="F61" s="35"/>
      <c r="G61" s="35"/>
      <c r="J61" s="3">
        <f>IF(G9="washoe",J11*(4.1/1000),J11*(3.9/1000))</f>
        <v>508.39999999999992</v>
      </c>
    </row>
    <row r="62" spans="1:10" ht="12" customHeight="1" x14ac:dyDescent="0.2">
      <c r="A62" s="34"/>
      <c r="B62" s="35"/>
      <c r="C62" s="54" t="s">
        <v>93</v>
      </c>
      <c r="D62" s="58"/>
      <c r="E62" s="67">
        <v>50</v>
      </c>
      <c r="F62" s="35"/>
      <c r="G62" s="35"/>
    </row>
    <row r="63" spans="1:10" ht="3.75" customHeight="1" x14ac:dyDescent="0.2">
      <c r="A63" s="34"/>
      <c r="B63" s="35"/>
      <c r="C63" s="65"/>
      <c r="D63" s="58"/>
      <c r="E63" s="64"/>
      <c r="F63" s="35"/>
      <c r="G63" s="35"/>
    </row>
    <row r="64" spans="1:10" ht="12" customHeight="1" x14ac:dyDescent="0.2">
      <c r="A64" s="34"/>
      <c r="B64" s="35"/>
      <c r="C64" s="54" t="s">
        <v>94</v>
      </c>
      <c r="D64" s="58"/>
      <c r="E64" s="67">
        <v>25</v>
      </c>
      <c r="F64" s="35"/>
      <c r="G64" s="35"/>
    </row>
    <row r="65" spans="1:8" ht="3.75" customHeight="1" x14ac:dyDescent="0.2">
      <c r="A65" s="34"/>
      <c r="B65" s="35"/>
      <c r="C65" s="65"/>
      <c r="D65" s="58"/>
      <c r="E65" s="64"/>
      <c r="F65" s="35"/>
      <c r="G65" s="35"/>
    </row>
    <row r="66" spans="1:8" ht="12" customHeight="1" x14ac:dyDescent="0.2">
      <c r="A66" s="34"/>
      <c r="B66" s="35"/>
      <c r="C66" s="57" t="s">
        <v>87</v>
      </c>
      <c r="D66" s="58"/>
      <c r="E66" s="67">
        <v>20</v>
      </c>
      <c r="F66" s="35"/>
      <c r="G66" s="35"/>
    </row>
    <row r="67" spans="1:8" ht="15" customHeight="1" x14ac:dyDescent="0.2">
      <c r="A67" s="34"/>
      <c r="B67" s="35"/>
      <c r="C67" s="40"/>
      <c r="D67" s="34"/>
      <c r="E67" s="39"/>
      <c r="F67" s="35"/>
      <c r="G67" s="35"/>
    </row>
    <row r="68" spans="1:8" ht="15" customHeight="1" thickBot="1" x14ac:dyDescent="0.25">
      <c r="A68" s="34"/>
      <c r="B68" s="35"/>
      <c r="C68" s="35"/>
      <c r="D68" s="35"/>
      <c r="E68" s="48" t="s">
        <v>38</v>
      </c>
      <c r="F68" s="49"/>
      <c r="G68" s="100">
        <f>SUM(E44:E66)</f>
        <v>2026.865</v>
      </c>
      <c r="H68" s="100"/>
    </row>
    <row r="69" spans="1:8" ht="3.75" customHeight="1" thickTop="1" x14ac:dyDescent="0.2">
      <c r="A69" s="34"/>
      <c r="B69" s="35"/>
      <c r="C69" s="76"/>
      <c r="D69" s="35"/>
      <c r="E69" s="39"/>
      <c r="F69" s="35"/>
      <c r="G69" s="35"/>
    </row>
    <row r="70" spans="1:8" ht="20" thickBot="1" x14ac:dyDescent="0.25">
      <c r="A70" s="90" t="s">
        <v>84</v>
      </c>
      <c r="B70" s="90"/>
      <c r="C70" s="90"/>
      <c r="D70" s="90"/>
      <c r="E70" s="50" t="s">
        <v>38</v>
      </c>
      <c r="F70" s="51"/>
      <c r="G70" s="91">
        <f>G68+G41+G26</f>
        <v>6347.8249999999998</v>
      </c>
      <c r="H70" s="91"/>
    </row>
    <row r="71" spans="1:8" ht="3.75" customHeight="1" thickTop="1" x14ac:dyDescent="0.2">
      <c r="A71" s="31"/>
      <c r="B71" s="31"/>
      <c r="C71" s="31"/>
      <c r="D71" s="31"/>
      <c r="E71" s="31"/>
      <c r="F71" s="31"/>
      <c r="G71" s="31"/>
    </row>
    <row r="72" spans="1:8" x14ac:dyDescent="0.2">
      <c r="A72" s="89" t="s">
        <v>16</v>
      </c>
      <c r="B72" s="89"/>
      <c r="C72" s="89"/>
      <c r="D72" s="89"/>
      <c r="E72" s="89"/>
      <c r="F72" s="89"/>
      <c r="G72" s="89"/>
      <c r="H72" s="89"/>
    </row>
    <row r="73" spans="1:8" x14ac:dyDescent="0.2">
      <c r="A73" s="31"/>
      <c r="B73" s="31"/>
      <c r="C73" s="31"/>
      <c r="D73" s="31"/>
      <c r="E73" s="31"/>
      <c r="F73" s="31"/>
      <c r="G73" s="31"/>
    </row>
    <row r="75" spans="1:8" x14ac:dyDescent="0.2">
      <c r="H75" s="4"/>
    </row>
  </sheetData>
  <sheetProtection algorithmName="SHA-512" hashValue="YMoHtMpZkEs6uV6nEtsLERgq6DVDdaDtOa67BujnOB4pN3L4mTZa4ticCdUf656GqtsS30sW8JKIKKGh4WHJpQ==" saltValue="VT2J5RQMGKRvTSiXK/9kQQ==" spinCount="100000" sheet="1" objects="1" scenarios="1" selectLockedCells="1"/>
  <mergeCells count="14">
    <mergeCell ref="A1:H1"/>
    <mergeCell ref="A2:H2"/>
    <mergeCell ref="G3:H3"/>
    <mergeCell ref="A5:H5"/>
    <mergeCell ref="A72:H72"/>
    <mergeCell ref="A70:D70"/>
    <mergeCell ref="G70:H70"/>
    <mergeCell ref="B41:D41"/>
    <mergeCell ref="G7:H7"/>
    <mergeCell ref="G9:H9"/>
    <mergeCell ref="G11:H11"/>
    <mergeCell ref="G26:H26"/>
    <mergeCell ref="G41:H41"/>
    <mergeCell ref="G68:H68"/>
  </mergeCells>
  <phoneticPr fontId="8" type="noConversion"/>
  <pageMargins left="0.5" right="0.5" top="0.75" bottom="0.75" header="0.3" footer="0.3"/>
  <pageSetup orientation="portrait" horizontalDpi="4294967292" verticalDpi="4294967292" r:id="rId1"/>
  <headerFooter>
    <oddHeader xml:space="preserve">&amp;C
&amp;G
          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0B225CF-F350-E64E-8C6D-643E40487587}">
          <x14:formula1>
            <xm:f>Sheet2!$C$83:$C$84</xm:f>
          </x14:formula1>
          <xm:sqref>G52 G46 G44 G50</xm:sqref>
        </x14:dataValidation>
        <x14:dataValidation type="list" allowBlank="1" showInputMessage="1" showErrorMessage="1" xr:uid="{69CD3619-C29F-AD44-9475-9D0927AF222B}">
          <x14:formula1>
            <xm:f>Sheet2!$B$77:$B$81</xm:f>
          </x14:formula1>
          <xm:sqref>G9</xm:sqref>
        </x14:dataValidation>
        <x14:dataValidation type="list" allowBlank="1" showInputMessage="1" showErrorMessage="1" xr:uid="{A7FB3840-BCED-8F47-9FB8-AD965CC042F7}">
          <x14:formula1>
            <xm:f>Sheet2!$B$59:$B$74</xm:f>
          </x14:formula1>
          <xm:sqref>A11</xm:sqref>
        </x14:dataValidation>
      </x14:dataValidations>
    </ext>
    <ext xmlns:mx="http://schemas.microsoft.com/office/mac/excel/2008/main" uri="{64002731-A6B0-56B0-2670-7721B7C09600}">
      <mx:PLV Mode="1" OnePage="1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88"/>
  <sheetViews>
    <sheetView topLeftCell="A39" workbookViewId="0">
      <selection activeCell="C68" sqref="C68"/>
    </sheetView>
  </sheetViews>
  <sheetFormatPr baseColWidth="10" defaultColWidth="8.83203125" defaultRowHeight="16" x14ac:dyDescent="0.2"/>
  <cols>
    <col min="1" max="1" width="2.6640625" customWidth="1"/>
    <col min="2" max="2" width="22.1640625" customWidth="1"/>
    <col min="3" max="3" width="47.83203125" customWidth="1"/>
    <col min="4" max="4" width="12.1640625" customWidth="1"/>
    <col min="5" max="5" width="21.6640625" customWidth="1"/>
    <col min="6" max="6" width="5.83203125" customWidth="1"/>
    <col min="7" max="8" width="8.83203125" customWidth="1"/>
  </cols>
  <sheetData>
    <row r="1" spans="2:8" ht="17" thickBot="1" x14ac:dyDescent="0.25"/>
    <row r="2" spans="2:8" x14ac:dyDescent="0.2">
      <c r="B2" s="101" t="s">
        <v>21</v>
      </c>
      <c r="C2" s="102"/>
      <c r="D2" s="102"/>
      <c r="E2" s="102"/>
      <c r="F2" s="102"/>
      <c r="G2" s="102"/>
      <c r="H2" s="103"/>
    </row>
    <row r="3" spans="2:8" x14ac:dyDescent="0.2">
      <c r="B3" s="5"/>
      <c r="C3" s="6">
        <v>0</v>
      </c>
      <c r="D3" s="6"/>
      <c r="E3" s="6">
        <v>50000</v>
      </c>
      <c r="F3" s="7">
        <v>487</v>
      </c>
      <c r="G3" s="7"/>
      <c r="H3" s="8">
        <v>487</v>
      </c>
    </row>
    <row r="4" spans="2:8" x14ac:dyDescent="0.2">
      <c r="B4" s="5"/>
      <c r="C4" s="6">
        <v>50001</v>
      </c>
      <c r="D4" s="6"/>
      <c r="E4" s="6">
        <v>100000</v>
      </c>
      <c r="F4" s="7">
        <v>43.26</v>
      </c>
      <c r="G4" s="7" t="s">
        <v>22</v>
      </c>
      <c r="H4" s="8">
        <v>703.3</v>
      </c>
    </row>
    <row r="5" spans="2:8" x14ac:dyDescent="0.2">
      <c r="B5" s="5"/>
      <c r="C5" s="6">
        <v>100001</v>
      </c>
      <c r="D5" s="6"/>
      <c r="E5" s="6">
        <v>200000</v>
      </c>
      <c r="F5" s="7">
        <v>32.450000000000003</v>
      </c>
      <c r="G5" s="7" t="s">
        <v>22</v>
      </c>
      <c r="H5" s="8">
        <v>1027.8</v>
      </c>
    </row>
    <row r="6" spans="2:8" x14ac:dyDescent="0.2">
      <c r="B6" s="5"/>
      <c r="C6" s="6">
        <v>200001</v>
      </c>
      <c r="D6" s="6"/>
      <c r="E6" s="6">
        <v>300000</v>
      </c>
      <c r="F6" s="7">
        <v>29.87</v>
      </c>
      <c r="G6" s="7" t="s">
        <v>22</v>
      </c>
      <c r="H6" s="8">
        <v>1326.5</v>
      </c>
    </row>
    <row r="7" spans="2:8" x14ac:dyDescent="0.2">
      <c r="B7" s="5"/>
      <c r="C7" s="6">
        <v>300001</v>
      </c>
      <c r="D7" s="6"/>
      <c r="E7" s="6">
        <v>1000000</v>
      </c>
      <c r="F7" s="7">
        <v>21.63</v>
      </c>
      <c r="G7" s="7" t="s">
        <v>22</v>
      </c>
      <c r="H7" s="8">
        <v>2840.6</v>
      </c>
    </row>
    <row r="8" spans="2:8" x14ac:dyDescent="0.2">
      <c r="B8" s="5"/>
      <c r="C8" s="6">
        <v>1000001</v>
      </c>
      <c r="D8" s="6"/>
      <c r="E8" s="6">
        <v>3000000</v>
      </c>
      <c r="F8" s="7">
        <v>19.059999999999999</v>
      </c>
      <c r="G8" s="7" t="s">
        <v>22</v>
      </c>
      <c r="H8" s="8">
        <v>6652.6</v>
      </c>
    </row>
    <row r="9" spans="2:8" x14ac:dyDescent="0.2">
      <c r="B9" s="5"/>
      <c r="C9" s="6">
        <v>3000001</v>
      </c>
      <c r="D9" s="6"/>
      <c r="E9" s="6">
        <v>5000000</v>
      </c>
      <c r="F9" s="7">
        <v>14.94</v>
      </c>
      <c r="G9" s="7" t="s">
        <v>22</v>
      </c>
      <c r="H9" s="8">
        <v>9640.6</v>
      </c>
    </row>
    <row r="10" spans="2:8" x14ac:dyDescent="0.2">
      <c r="B10" s="5"/>
      <c r="C10" s="6">
        <v>5000001</v>
      </c>
      <c r="D10" s="6"/>
      <c r="E10" s="6">
        <v>20000000</v>
      </c>
      <c r="F10" s="7" t="s">
        <v>23</v>
      </c>
      <c r="G10" s="7"/>
      <c r="H10" s="8"/>
    </row>
    <row r="11" spans="2:8" x14ac:dyDescent="0.2">
      <c r="B11" s="5"/>
      <c r="C11" s="7"/>
      <c r="D11" s="7"/>
      <c r="E11" s="7"/>
      <c r="F11" s="7"/>
      <c r="G11" s="7"/>
      <c r="H11" s="9">
        <v>10000</v>
      </c>
    </row>
    <row r="12" spans="2:8" x14ac:dyDescent="0.2">
      <c r="B12" s="10" t="s">
        <v>24</v>
      </c>
      <c r="C12" s="11" t="s">
        <v>25</v>
      </c>
      <c r="D12" s="7"/>
      <c r="E12" s="7"/>
      <c r="F12" s="7"/>
      <c r="G12" s="7"/>
      <c r="H12" s="9"/>
    </row>
    <row r="13" spans="2:8" x14ac:dyDescent="0.2">
      <c r="B13" s="12">
        <f>Sheet1!G11</f>
        <v>123456</v>
      </c>
      <c r="C13" s="13">
        <f>ROUNDUP(B13,-4)</f>
        <v>130000</v>
      </c>
      <c r="D13" s="6"/>
      <c r="E13" s="13" t="str">
        <f>IF(AND(C13&lt;=$E$3,C13&gt;=$C$3),$H$3,"Error")</f>
        <v>Error</v>
      </c>
      <c r="F13" s="7"/>
      <c r="G13" s="14">
        <f>IF(AND(C13&lt;=E3,C13&gt;=C3),H3,IF(AND(C13&lt;=E4,C13&gt;=C4),((C13-E3)/H11*F4)+H3,IF(AND(C13&lt;=E5,C13&gt;=C5),((C13-E4)/H11*F5)+H4,IF(AND(C13&lt;=E6,C13&gt;=C6),((C13-E5)/H11*F6)+H5,IF(AND(C13&lt;=E7,C13&gt;=C7),((C13-E6)/H11*F7)+H6,IF(AND(C13&lt;=E8,C13&gt;=C8),((C13-E7)/H11*F8)+H7,"Error"))))))</f>
        <v>800.65</v>
      </c>
      <c r="H13" s="15"/>
    </row>
    <row r="14" spans="2:8" x14ac:dyDescent="0.2">
      <c r="B14" s="16"/>
      <c r="C14" s="6"/>
      <c r="D14" s="6"/>
      <c r="E14" s="13" t="str">
        <f>IF(AND(C13&lt;=E4,C13&gt;=C4),((C13-E3)/H11*F4)+H3,"Error")</f>
        <v>Error</v>
      </c>
      <c r="F14" s="7"/>
      <c r="G14" s="14">
        <f>G13*0.1</f>
        <v>80.064999999999998</v>
      </c>
      <c r="H14" s="17">
        <v>0.1</v>
      </c>
    </row>
    <row r="15" spans="2:8" x14ac:dyDescent="0.2">
      <c r="B15" s="16"/>
      <c r="C15" s="6"/>
      <c r="D15" s="6"/>
      <c r="E15" s="13">
        <f>IF(AND(C13&lt;=E5,C13&gt;=C5),((C13-E4)/H11*F5)+H4,"Error")</f>
        <v>800.65</v>
      </c>
      <c r="F15" s="7"/>
      <c r="G15" s="14">
        <f>SUM(G13:G14)</f>
        <v>880.71499999999992</v>
      </c>
      <c r="H15" s="15" t="s">
        <v>26</v>
      </c>
    </row>
    <row r="16" spans="2:8" x14ac:dyDescent="0.2">
      <c r="B16" s="16"/>
      <c r="C16" s="6"/>
      <c r="D16" s="6"/>
      <c r="E16" s="13" t="str">
        <f>IF(AND(C13&lt;=E6,C13&gt;=C6),((C13-E5)/H11*F6)+H5,"Error")</f>
        <v>Error</v>
      </c>
      <c r="F16" s="7"/>
      <c r="G16" s="7"/>
      <c r="H16" s="9"/>
    </row>
    <row r="17" spans="2:8" x14ac:dyDescent="0.2">
      <c r="B17" s="16"/>
      <c r="C17" s="6"/>
      <c r="D17" s="6"/>
      <c r="E17" s="13" t="str">
        <f>IF(AND(C13&lt;=E7,C13&gt;=C7),((C13-E6)/H11*F7)+H6,"Error")</f>
        <v>Error</v>
      </c>
      <c r="F17" s="7"/>
      <c r="G17" s="7"/>
      <c r="H17" s="9"/>
    </row>
    <row r="18" spans="2:8" x14ac:dyDescent="0.2">
      <c r="B18" s="16"/>
      <c r="C18" s="6"/>
      <c r="D18" s="6"/>
      <c r="E18" s="13" t="str">
        <f>IF(AND(C13&lt;=E8,C13&gt;=C8),((C13-E7)/H11*F8)+H7,"Error")</f>
        <v>Error</v>
      </c>
      <c r="F18" s="7"/>
      <c r="G18" s="7"/>
      <c r="H18" s="9"/>
    </row>
    <row r="19" spans="2:8" x14ac:dyDescent="0.2">
      <c r="B19" s="16"/>
      <c r="C19" s="6"/>
      <c r="D19" s="6"/>
      <c r="E19" s="13" t="str">
        <f>IF(AND(C13&lt;=E9,C13&gt;=C9),((C13-E8)/H11*F9)+H8,"Error")</f>
        <v>Error</v>
      </c>
      <c r="F19" s="7"/>
      <c r="G19" s="7"/>
      <c r="H19" s="9"/>
    </row>
    <row r="20" spans="2:8" ht="17" thickBot="1" x14ac:dyDescent="0.25">
      <c r="B20" s="18"/>
      <c r="C20" s="19"/>
      <c r="D20" s="19"/>
      <c r="E20" s="20" t="str">
        <f>IF(AND(C13&lt;=E10,C13&gt;=C10),"Call First Centennial Title","Call First Centennial Title")</f>
        <v>Call First Centennial Title</v>
      </c>
      <c r="F20" s="21"/>
      <c r="G20" s="21"/>
      <c r="H20" s="22"/>
    </row>
    <row r="21" spans="2:8" ht="17" thickBot="1" x14ac:dyDescent="0.25">
      <c r="B21" s="6"/>
      <c r="C21" s="6"/>
      <c r="D21" s="6"/>
      <c r="E21" s="13"/>
      <c r="F21" s="7"/>
      <c r="G21" s="7"/>
      <c r="H21" s="7"/>
    </row>
    <row r="22" spans="2:8" x14ac:dyDescent="0.2">
      <c r="B22" s="107" t="s">
        <v>82</v>
      </c>
      <c r="C22" s="108"/>
      <c r="D22" s="108"/>
      <c r="E22" s="108"/>
      <c r="F22" s="108"/>
      <c r="G22" s="108"/>
      <c r="H22" s="109"/>
    </row>
    <row r="23" spans="2:8" x14ac:dyDescent="0.2">
      <c r="B23" s="16"/>
      <c r="C23" s="6"/>
      <c r="D23" s="6"/>
      <c r="E23" s="47"/>
      <c r="F23" s="7"/>
      <c r="G23" s="7"/>
      <c r="H23" s="9"/>
    </row>
    <row r="24" spans="2:8" x14ac:dyDescent="0.2">
      <c r="B24" s="16" t="s">
        <v>24</v>
      </c>
      <c r="C24" s="6" t="s">
        <v>25</v>
      </c>
      <c r="D24" s="6"/>
      <c r="E24" s="47"/>
      <c r="F24" s="7"/>
      <c r="G24" s="7"/>
      <c r="H24" s="9"/>
    </row>
    <row r="25" spans="2:8" x14ac:dyDescent="0.2">
      <c r="B25" s="16">
        <f>Sheet1!E14-Sheet1!E16</f>
        <v>119135.03999999999</v>
      </c>
      <c r="C25" s="6">
        <f>ROUNDUP(B25,-4)</f>
        <v>120000</v>
      </c>
      <c r="D25" s="6"/>
      <c r="E25" s="47" t="str">
        <f>IF(AND(C25&lt;=$E$3,C25&gt;=$C$3),$H$3,"Error")</f>
        <v>Error</v>
      </c>
      <c r="F25" s="7"/>
      <c r="G25" s="6">
        <f>IF(AND(C25&lt;=E3,C25&gt;=C3),H3,IF(AND(C25&lt;=E4,C25&gt;=C4),((C25-E3)/H11*F4)+H3,IF(AND(C25&lt;=E5,C25&gt;=C5),((C25-E4)/H11*F5)+H4,IF(AND(C25&lt;=E6,C25&gt;=C6),((C25-E5)/H11*F6)+H5,IF(AND(C25&lt;=E7,C25&gt;=C7),((C25-E6)/H11*F7)+H6,IF(AND(C25&lt;=E8,C25&gt;=C8),((C25-E7)/H11*F8)+H7,"Error"))))))</f>
        <v>768.19999999999993</v>
      </c>
      <c r="H25" s="9"/>
    </row>
    <row r="26" spans="2:8" x14ac:dyDescent="0.2">
      <c r="B26" s="5"/>
      <c r="C26" s="7"/>
      <c r="D26" s="7"/>
      <c r="E26" s="11" t="str">
        <f>IF(AND(C25&lt;=E4,C25&gt;=C4),((C25-E3)/H11*F4)+H3,"Error")</f>
        <v>Error</v>
      </c>
      <c r="F26" s="7"/>
      <c r="G26" s="6">
        <f>G25/2</f>
        <v>384.09999999999997</v>
      </c>
      <c r="H26" s="9"/>
    </row>
    <row r="27" spans="2:8" x14ac:dyDescent="0.2">
      <c r="B27" s="16"/>
      <c r="C27" s="6"/>
      <c r="D27" s="6"/>
      <c r="E27" s="47">
        <f>IF(AND(C25&lt;=E5,C25&gt;=C5),((C25-E4)/H11*F5)+H4,"Error")</f>
        <v>768.19999999999993</v>
      </c>
      <c r="F27" s="7"/>
      <c r="G27" s="6">
        <f>IF(G26&lt;=350,350,G26)</f>
        <v>384.09999999999997</v>
      </c>
      <c r="H27" s="9"/>
    </row>
    <row r="28" spans="2:8" x14ac:dyDescent="0.2">
      <c r="B28" s="16"/>
      <c r="C28" s="6"/>
      <c r="D28" s="6"/>
      <c r="E28" s="47" t="str">
        <f>IF(AND(C25&lt;=E6,C25&gt;=C6),((C25-E5)/H11*F6)+H5,"Error")</f>
        <v>Error</v>
      </c>
      <c r="F28" s="7"/>
      <c r="G28" s="7"/>
      <c r="H28" s="9"/>
    </row>
    <row r="29" spans="2:8" x14ac:dyDescent="0.2">
      <c r="B29" s="16"/>
      <c r="C29" s="6"/>
      <c r="D29" s="6"/>
      <c r="E29" s="47" t="str">
        <f>IF(AND(C25&lt;=E7,C25&gt;=C7),((C25-E6)/H11*F7)+H6,"Error")</f>
        <v>Error</v>
      </c>
      <c r="F29" s="7"/>
      <c r="G29" s="7"/>
      <c r="H29" s="9"/>
    </row>
    <row r="30" spans="2:8" x14ac:dyDescent="0.2">
      <c r="B30" s="16"/>
      <c r="C30" s="6"/>
      <c r="D30" s="6"/>
      <c r="E30" s="47" t="str">
        <f>IF(AND(C25&lt;=E8,C25&gt;=C8),((C25-E7)/H11*F8)+H7,"Error")</f>
        <v>Error</v>
      </c>
      <c r="F30" s="7"/>
      <c r="G30" s="7"/>
      <c r="H30" s="9"/>
    </row>
    <row r="31" spans="2:8" x14ac:dyDescent="0.2">
      <c r="B31" s="16"/>
      <c r="C31" s="6"/>
      <c r="D31" s="6"/>
      <c r="E31" s="47" t="str">
        <f>IF(AND(C25&lt;=E9,C25&gt;=C9),((C25-E8)/H11*F9)+H8,"Error")</f>
        <v>Error</v>
      </c>
      <c r="F31" s="7"/>
      <c r="G31" s="7"/>
      <c r="H31" s="9"/>
    </row>
    <row r="32" spans="2:8" ht="17" thickBot="1" x14ac:dyDescent="0.25">
      <c r="B32" s="26"/>
      <c r="C32" s="21"/>
      <c r="D32" s="21"/>
      <c r="E32" s="21" t="str">
        <f>IF(AND(C25&lt;=E10,C25&gt;=C10),"Call First Centennial Title","Call First Centennial Title")</f>
        <v>Call First Centennial Title</v>
      </c>
      <c r="F32" s="21"/>
      <c r="G32" s="21"/>
      <c r="H32" s="22"/>
    </row>
    <row r="33" spans="2:8" ht="17" thickBot="1" x14ac:dyDescent="0.25"/>
    <row r="34" spans="2:8" x14ac:dyDescent="0.2">
      <c r="B34" s="104" t="s">
        <v>27</v>
      </c>
      <c r="C34" s="105"/>
      <c r="D34" s="105"/>
      <c r="E34" s="105"/>
      <c r="F34" s="105"/>
      <c r="G34" s="105"/>
      <c r="H34" s="106"/>
    </row>
    <row r="35" spans="2:8" x14ac:dyDescent="0.2">
      <c r="B35" s="5"/>
      <c r="C35" s="7"/>
      <c r="D35" s="7"/>
      <c r="E35" s="11"/>
      <c r="F35" s="7"/>
      <c r="G35" s="7"/>
      <c r="H35" s="9"/>
    </row>
    <row r="36" spans="2:8" x14ac:dyDescent="0.2">
      <c r="B36" s="5"/>
      <c r="C36" s="23">
        <v>0</v>
      </c>
      <c r="D36" s="23"/>
      <c r="E36" s="23">
        <v>50000</v>
      </c>
      <c r="F36" s="23">
        <v>680</v>
      </c>
      <c r="G36" s="23"/>
      <c r="H36" s="24">
        <v>680</v>
      </c>
    </row>
    <row r="37" spans="2:8" x14ac:dyDescent="0.2">
      <c r="B37" s="5"/>
      <c r="C37" s="7">
        <v>50001</v>
      </c>
      <c r="D37" s="7"/>
      <c r="E37" s="7">
        <v>74000</v>
      </c>
      <c r="F37" s="7">
        <v>2.5</v>
      </c>
      <c r="G37" s="7" t="s">
        <v>28</v>
      </c>
      <c r="H37" s="8">
        <v>740</v>
      </c>
    </row>
    <row r="38" spans="2:8" x14ac:dyDescent="0.2">
      <c r="B38" s="5"/>
      <c r="C38" s="7">
        <v>74001</v>
      </c>
      <c r="D38" s="7"/>
      <c r="E38" s="7">
        <v>99000</v>
      </c>
      <c r="F38" s="7">
        <v>2</v>
      </c>
      <c r="G38" s="7" t="s">
        <v>28</v>
      </c>
      <c r="H38" s="8">
        <v>790</v>
      </c>
    </row>
    <row r="39" spans="2:8" x14ac:dyDescent="0.2">
      <c r="B39" s="5"/>
      <c r="C39" s="7">
        <v>100000</v>
      </c>
      <c r="D39" s="7"/>
      <c r="E39" s="7">
        <v>5000000</v>
      </c>
      <c r="F39" s="7">
        <v>1</v>
      </c>
      <c r="G39" s="7" t="s">
        <v>28</v>
      </c>
      <c r="H39" s="9"/>
    </row>
    <row r="40" spans="2:8" x14ac:dyDescent="0.2">
      <c r="B40" s="5"/>
      <c r="C40" s="7">
        <v>5000001</v>
      </c>
      <c r="D40" s="7"/>
      <c r="E40" s="7"/>
      <c r="F40" s="7" t="s">
        <v>23</v>
      </c>
      <c r="G40" s="7"/>
      <c r="H40" s="9"/>
    </row>
    <row r="41" spans="2:8" x14ac:dyDescent="0.2">
      <c r="B41" s="5"/>
      <c r="C41" s="7"/>
      <c r="D41" s="7"/>
      <c r="E41" s="7"/>
      <c r="F41" s="7"/>
      <c r="G41" s="7"/>
      <c r="H41" s="9">
        <v>1000</v>
      </c>
    </row>
    <row r="42" spans="2:8" x14ac:dyDescent="0.2">
      <c r="B42" s="12" t="s">
        <v>24</v>
      </c>
      <c r="C42" s="13" t="s">
        <v>25</v>
      </c>
      <c r="D42" s="6"/>
      <c r="E42" s="6"/>
      <c r="F42" s="7"/>
      <c r="G42" s="7"/>
      <c r="H42" s="9"/>
    </row>
    <row r="43" spans="2:8" x14ac:dyDescent="0.2">
      <c r="B43" s="12">
        <f>Sheet1!G11</f>
        <v>123456</v>
      </c>
      <c r="C43" s="13">
        <f>ROUNDUP(B43,-3)</f>
        <v>124000</v>
      </c>
      <c r="D43" s="6"/>
      <c r="E43" s="13" t="str">
        <f>IF(AND(C43&lt;=E36,$B$64&gt;=C36),F36,"error")</f>
        <v>error</v>
      </c>
      <c r="F43" s="7"/>
      <c r="G43" s="6">
        <f>IF(AND(C43&lt;=E36,C43&gt;=C36),F36,IF(AND(C43&lt;=E37,C43&gt;=C37),((C43-E36)/H41)*F37+H36,IF(AND(C43&lt;=E38,C43&gt;=C38),((C43-E37)/H41)*F38+H37,IF(AND(C43&lt;=E39,C43&gt;=C39),((C43-E38)/H41)*F39+H38,"Call First Centennial Title"))))</f>
        <v>815</v>
      </c>
      <c r="H43" s="8">
        <f>G43*B46+G43</f>
        <v>896.5</v>
      </c>
    </row>
    <row r="44" spans="2:8" x14ac:dyDescent="0.2">
      <c r="B44" s="16"/>
      <c r="C44" s="6"/>
      <c r="D44" s="6"/>
      <c r="E44" s="13" t="str">
        <f>IF(AND(C43&lt;=E37,C43&gt;=C37),((C43-E36)/H41)*F37+H36,"error")</f>
        <v>error</v>
      </c>
      <c r="F44" s="7"/>
      <c r="G44" s="6">
        <f>G43/2</f>
        <v>407.5</v>
      </c>
      <c r="H44" s="8">
        <f>H43/2</f>
        <v>448.25</v>
      </c>
    </row>
    <row r="45" spans="2:8" x14ac:dyDescent="0.2">
      <c r="B45" s="16"/>
      <c r="C45" s="6"/>
      <c r="D45" s="6"/>
      <c r="E45" s="13" t="str">
        <f>IF(AND(C43&lt;=E38,C43&gt;=C38),((C43-E37)/H41)*F38+H37,"error")</f>
        <v>error</v>
      </c>
      <c r="F45" s="7"/>
      <c r="G45" s="7"/>
      <c r="H45" s="9"/>
    </row>
    <row r="46" spans="2:8" ht="17" thickBot="1" x14ac:dyDescent="0.25">
      <c r="B46" s="84">
        <v>0.1</v>
      </c>
      <c r="C46" s="19" t="s">
        <v>104</v>
      </c>
      <c r="D46" s="19"/>
      <c r="E46" s="20" t="str">
        <f>IF(AND($B$64&lt;=E39,$B$64&gt;=C39),(($B$64-E38)/H41)*F39+H38,"Call First Centennial Title")</f>
        <v>Call First Centennial Title</v>
      </c>
      <c r="F46" s="21"/>
      <c r="G46" s="19">
        <f>IF(Sheet1!G44="yes",Sheet2!H44,Sheet2!H43)</f>
        <v>896.5</v>
      </c>
      <c r="H46" s="22"/>
    </row>
    <row r="47" spans="2:8" ht="17" thickBot="1" x14ac:dyDescent="0.25"/>
    <row r="48" spans="2:8" x14ac:dyDescent="0.2">
      <c r="B48" s="104" t="s">
        <v>13</v>
      </c>
      <c r="C48" s="105"/>
      <c r="D48" s="105"/>
      <c r="E48" s="105"/>
      <c r="F48" s="105"/>
      <c r="G48" s="105"/>
      <c r="H48" s="106"/>
    </row>
    <row r="49" spans="2:8" x14ac:dyDescent="0.2">
      <c r="B49" s="5"/>
      <c r="C49" s="7"/>
      <c r="D49" s="7"/>
      <c r="E49" s="7"/>
      <c r="F49" s="7"/>
      <c r="G49" s="7"/>
      <c r="H49" s="9"/>
    </row>
    <row r="50" spans="2:8" x14ac:dyDescent="0.2">
      <c r="B50" s="12" t="s">
        <v>24</v>
      </c>
      <c r="C50" s="13" t="s">
        <v>25</v>
      </c>
      <c r="D50" s="7"/>
      <c r="E50" s="7"/>
      <c r="F50" s="7"/>
      <c r="G50" s="7"/>
      <c r="H50" s="9"/>
    </row>
    <row r="51" spans="2:8" x14ac:dyDescent="0.2">
      <c r="B51" s="12">
        <f>Sheet1!G11</f>
        <v>123456</v>
      </c>
      <c r="C51" s="13">
        <f>ROUNDUP(B51,-3)</f>
        <v>124000</v>
      </c>
      <c r="D51" s="7"/>
      <c r="E51" s="7"/>
      <c r="F51" s="7"/>
      <c r="G51" s="7"/>
      <c r="H51" s="9"/>
    </row>
    <row r="52" spans="2:8" x14ac:dyDescent="0.2">
      <c r="B52" s="5"/>
      <c r="C52" s="7"/>
      <c r="D52" s="7"/>
      <c r="E52" s="7"/>
      <c r="F52" s="7"/>
      <c r="G52" s="7"/>
      <c r="H52" s="9"/>
    </row>
    <row r="53" spans="2:8" x14ac:dyDescent="0.2">
      <c r="B53" s="5" t="s">
        <v>29</v>
      </c>
      <c r="C53" s="7"/>
      <c r="D53" s="7"/>
      <c r="E53" s="25">
        <f>IF(Sheet1!D67="yes",Sheet2!C51*2.05/500/2,Sheet2!C51*2.05/500)</f>
        <v>508.39999999999992</v>
      </c>
      <c r="F53" s="7">
        <f>IF(Sheet1!G46="yes",Sheet2!E53/2,E53)</f>
        <v>254.19999999999996</v>
      </c>
      <c r="G53" s="7"/>
      <c r="H53" s="9"/>
    </row>
    <row r="54" spans="2:8" x14ac:dyDescent="0.2">
      <c r="B54" s="5" t="s">
        <v>30</v>
      </c>
      <c r="C54" s="7"/>
      <c r="D54" s="7"/>
      <c r="E54" s="25">
        <f>IF(Sheet1!D67="yes",Sheet2!C51*1.95/500/2,Sheet2!C51*1.95/500)</f>
        <v>483.6</v>
      </c>
      <c r="F54" s="7">
        <f>IF(Sheet1!G46="yes",Sheet2!E54/2,E54)</f>
        <v>241.8</v>
      </c>
      <c r="G54" s="7"/>
      <c r="H54" s="9"/>
    </row>
    <row r="55" spans="2:8" x14ac:dyDescent="0.2">
      <c r="B55" s="5"/>
      <c r="C55" s="7"/>
      <c r="D55" s="7"/>
      <c r="E55" s="7"/>
      <c r="F55" s="7"/>
      <c r="G55" s="7"/>
      <c r="H55" s="9"/>
    </row>
    <row r="56" spans="2:8" ht="17" thickBot="1" x14ac:dyDescent="0.25">
      <c r="B56" s="26" t="s">
        <v>31</v>
      </c>
      <c r="C56" s="21"/>
      <c r="D56" s="21"/>
      <c r="E56" s="27">
        <f>IF(Sheet1!G9="Washoe",F53,F54)</f>
        <v>254.19999999999996</v>
      </c>
      <c r="F56" s="21"/>
      <c r="G56" s="21"/>
      <c r="H56" s="22"/>
    </row>
    <row r="57" spans="2:8" ht="17" thickBot="1" x14ac:dyDescent="0.25"/>
    <row r="58" spans="2:8" x14ac:dyDescent="0.2">
      <c r="B58" s="104" t="s">
        <v>41</v>
      </c>
      <c r="C58" s="105"/>
      <c r="D58" s="105"/>
      <c r="E58" s="105"/>
      <c r="F58" s="105"/>
      <c r="G58" s="105"/>
      <c r="H58" s="106"/>
    </row>
    <row r="59" spans="2:8" x14ac:dyDescent="0.2">
      <c r="B59" s="10"/>
      <c r="C59" s="11"/>
      <c r="D59" s="11"/>
      <c r="E59" s="11"/>
      <c r="F59" s="11"/>
      <c r="G59" s="11"/>
      <c r="H59" s="45"/>
    </row>
    <row r="60" spans="2:8" x14ac:dyDescent="0.2">
      <c r="B60" s="5" t="s">
        <v>106</v>
      </c>
      <c r="C60" s="7" t="s">
        <v>61</v>
      </c>
      <c r="D60" s="7" t="s">
        <v>62</v>
      </c>
      <c r="E60" s="7" t="s">
        <v>63</v>
      </c>
      <c r="F60" s="7"/>
      <c r="G60" s="7"/>
      <c r="H60" s="9"/>
    </row>
    <row r="61" spans="2:8" x14ac:dyDescent="0.2">
      <c r="B61" s="5" t="s">
        <v>42</v>
      </c>
      <c r="C61" s="7" t="s">
        <v>57</v>
      </c>
      <c r="D61" s="7" t="s">
        <v>53</v>
      </c>
      <c r="E61" s="7" t="s">
        <v>68</v>
      </c>
      <c r="F61" s="7"/>
      <c r="G61" s="7"/>
      <c r="H61" s="9"/>
    </row>
    <row r="62" spans="2:8" x14ac:dyDescent="0.2">
      <c r="B62" s="5" t="s">
        <v>43</v>
      </c>
      <c r="C62" s="7" t="s">
        <v>61</v>
      </c>
      <c r="D62" s="7" t="s">
        <v>62</v>
      </c>
      <c r="E62" s="7" t="s">
        <v>63</v>
      </c>
      <c r="F62" s="7"/>
      <c r="G62" s="7"/>
      <c r="H62" s="9"/>
    </row>
    <row r="63" spans="2:8" x14ac:dyDescent="0.2">
      <c r="B63" s="5" t="s">
        <v>44</v>
      </c>
      <c r="C63" s="7" t="s">
        <v>61</v>
      </c>
      <c r="D63" s="7" t="s">
        <v>62</v>
      </c>
      <c r="E63" s="7" t="s">
        <v>63</v>
      </c>
      <c r="F63" s="7"/>
      <c r="G63" s="7"/>
      <c r="H63" s="9"/>
    </row>
    <row r="64" spans="2:8" x14ac:dyDescent="0.2">
      <c r="B64" s="5" t="s">
        <v>45</v>
      </c>
      <c r="C64" s="7" t="s">
        <v>61</v>
      </c>
      <c r="D64" s="7" t="s">
        <v>62</v>
      </c>
      <c r="E64" s="7" t="s">
        <v>63</v>
      </c>
      <c r="F64" s="7"/>
      <c r="G64" s="7"/>
      <c r="H64" s="9"/>
    </row>
    <row r="65" spans="2:8" x14ac:dyDescent="0.2">
      <c r="B65" s="5" t="s">
        <v>98</v>
      </c>
      <c r="C65" s="7" t="s">
        <v>100</v>
      </c>
      <c r="D65" s="7" t="s">
        <v>64</v>
      </c>
      <c r="E65" s="7" t="s">
        <v>65</v>
      </c>
      <c r="F65" s="7"/>
      <c r="G65" s="7"/>
      <c r="H65" s="9"/>
    </row>
    <row r="66" spans="2:8" x14ac:dyDescent="0.2">
      <c r="B66" s="5" t="s">
        <v>46</v>
      </c>
      <c r="C66" s="7" t="s">
        <v>58</v>
      </c>
      <c r="D66" s="7" t="s">
        <v>59</v>
      </c>
      <c r="E66" s="7" t="s">
        <v>60</v>
      </c>
      <c r="F66" s="7"/>
      <c r="G66" s="7"/>
      <c r="H66" s="9"/>
    </row>
    <row r="67" spans="2:8" x14ac:dyDescent="0.2">
      <c r="B67" s="5" t="s">
        <v>47</v>
      </c>
      <c r="C67" s="7" t="s">
        <v>58</v>
      </c>
      <c r="D67" s="7" t="s">
        <v>59</v>
      </c>
      <c r="E67" s="7" t="s">
        <v>60</v>
      </c>
      <c r="F67" s="7"/>
      <c r="G67" s="7"/>
      <c r="H67" s="9"/>
    </row>
    <row r="68" spans="2:8" x14ac:dyDescent="0.2">
      <c r="B68" s="5" t="s">
        <v>48</v>
      </c>
      <c r="C68" s="7" t="s">
        <v>55</v>
      </c>
      <c r="D68" s="7" t="s">
        <v>52</v>
      </c>
      <c r="E68" s="7" t="s">
        <v>72</v>
      </c>
      <c r="F68" s="7"/>
      <c r="G68" s="7"/>
      <c r="H68" s="9"/>
    </row>
    <row r="69" spans="2:8" x14ac:dyDescent="0.2">
      <c r="B69" s="5" t="s">
        <v>105</v>
      </c>
      <c r="C69" s="7" t="s">
        <v>55</v>
      </c>
      <c r="D69" s="7" t="s">
        <v>52</v>
      </c>
      <c r="E69" s="7" t="s">
        <v>71</v>
      </c>
      <c r="F69" s="7"/>
      <c r="G69" s="7"/>
      <c r="H69" s="9"/>
    </row>
    <row r="70" spans="2:8" x14ac:dyDescent="0.2">
      <c r="B70" s="5" t="s">
        <v>99</v>
      </c>
      <c r="C70" s="7" t="s">
        <v>102</v>
      </c>
      <c r="D70" s="7" t="s">
        <v>101</v>
      </c>
      <c r="E70" s="7" t="s">
        <v>66</v>
      </c>
      <c r="F70" s="7"/>
      <c r="G70" s="7"/>
      <c r="H70" s="9"/>
    </row>
    <row r="71" spans="2:8" x14ac:dyDescent="0.2">
      <c r="B71" s="5" t="s">
        <v>49</v>
      </c>
      <c r="C71" s="7" t="s">
        <v>55</v>
      </c>
      <c r="D71" s="7" t="s">
        <v>52</v>
      </c>
      <c r="E71" s="7" t="s">
        <v>70</v>
      </c>
      <c r="F71" s="7"/>
      <c r="G71" s="7"/>
      <c r="H71" s="9"/>
    </row>
    <row r="72" spans="2:8" x14ac:dyDescent="0.2">
      <c r="B72" s="5" t="s">
        <v>97</v>
      </c>
      <c r="C72" s="7" t="s">
        <v>55</v>
      </c>
      <c r="D72" s="7" t="s">
        <v>52</v>
      </c>
      <c r="E72" s="7" t="s">
        <v>103</v>
      </c>
      <c r="F72" s="7"/>
      <c r="G72" s="7"/>
      <c r="H72" s="9"/>
    </row>
    <row r="73" spans="2:8" x14ac:dyDescent="0.2">
      <c r="B73" s="5" t="s">
        <v>50</v>
      </c>
      <c r="C73" s="7" t="s">
        <v>56</v>
      </c>
      <c r="D73" s="7" t="s">
        <v>54</v>
      </c>
      <c r="E73" s="7" t="s">
        <v>67</v>
      </c>
      <c r="F73" s="7"/>
      <c r="G73" s="7"/>
      <c r="H73" s="9"/>
    </row>
    <row r="74" spans="2:8" ht="17" thickBot="1" x14ac:dyDescent="0.25">
      <c r="B74" s="26" t="s">
        <v>51</v>
      </c>
      <c r="C74" s="21" t="s">
        <v>55</v>
      </c>
      <c r="D74" s="21" t="s">
        <v>52</v>
      </c>
      <c r="E74" s="21" t="s">
        <v>69</v>
      </c>
      <c r="F74" s="21"/>
      <c r="G74" s="21"/>
      <c r="H74" s="22"/>
    </row>
    <row r="75" spans="2:8" ht="17" thickBot="1" x14ac:dyDescent="0.25"/>
    <row r="76" spans="2:8" x14ac:dyDescent="0.2">
      <c r="B76" s="81" t="s">
        <v>75</v>
      </c>
      <c r="C76" s="82"/>
      <c r="D76" s="82"/>
      <c r="E76" s="82"/>
      <c r="F76" s="82"/>
      <c r="G76" s="82"/>
      <c r="H76" s="83"/>
    </row>
    <row r="77" spans="2:8" x14ac:dyDescent="0.2">
      <c r="B77" s="5" t="s">
        <v>17</v>
      </c>
      <c r="C77" s="7"/>
      <c r="D77" s="7"/>
      <c r="E77" s="7"/>
      <c r="F77" s="7"/>
      <c r="G77" s="7"/>
      <c r="H77" s="9"/>
    </row>
    <row r="78" spans="2:8" x14ac:dyDescent="0.2">
      <c r="B78" s="5" t="s">
        <v>76</v>
      </c>
      <c r="C78" s="7"/>
      <c r="D78" s="7"/>
      <c r="E78" s="7"/>
      <c r="F78" s="7"/>
      <c r="G78" s="7"/>
      <c r="H78" s="9"/>
    </row>
    <row r="79" spans="2:8" x14ac:dyDescent="0.2">
      <c r="B79" s="5" t="s">
        <v>77</v>
      </c>
      <c r="C79" s="7"/>
      <c r="D79" s="7"/>
      <c r="E79" s="7"/>
      <c r="F79" s="7"/>
      <c r="G79" s="7"/>
      <c r="H79" s="9"/>
    </row>
    <row r="80" spans="2:8" x14ac:dyDescent="0.2">
      <c r="B80" s="5" t="s">
        <v>78</v>
      </c>
      <c r="C80" s="7"/>
      <c r="D80" s="7"/>
      <c r="E80" s="7"/>
      <c r="F80" s="7"/>
      <c r="G80" s="7"/>
      <c r="H80" s="9"/>
    </row>
    <row r="81" spans="2:8" ht="17" thickBot="1" x14ac:dyDescent="0.25">
      <c r="B81" s="26" t="s">
        <v>79</v>
      </c>
      <c r="C81" s="21"/>
      <c r="D81" s="21"/>
      <c r="E81" s="21"/>
      <c r="F81" s="21"/>
      <c r="G81" s="21"/>
      <c r="H81" s="22"/>
    </row>
    <row r="83" spans="2:8" x14ac:dyDescent="0.2">
      <c r="C83" t="s">
        <v>85</v>
      </c>
    </row>
    <row r="84" spans="2:8" x14ac:dyDescent="0.2">
      <c r="C84" t="s">
        <v>86</v>
      </c>
    </row>
    <row r="86" spans="2:8" x14ac:dyDescent="0.2">
      <c r="B86" s="80" t="s">
        <v>91</v>
      </c>
      <c r="C86" s="80"/>
      <c r="D86" s="80"/>
      <c r="E86" s="80"/>
      <c r="F86" s="80"/>
      <c r="G86" s="80"/>
      <c r="H86" s="80"/>
    </row>
    <row r="87" spans="2:8" x14ac:dyDescent="0.2">
      <c r="B87">
        <v>100</v>
      </c>
      <c r="C87">
        <v>30</v>
      </c>
    </row>
    <row r="88" spans="2:8" x14ac:dyDescent="0.2">
      <c r="B88">
        <v>50</v>
      </c>
      <c r="C88">
        <f>C87/2</f>
        <v>15</v>
      </c>
    </row>
  </sheetData>
  <sheetProtection algorithmName="SHA-512" hashValue="/QpjlHjHFeDX5dAyK/KTEiQtV4ePx4gfcZ2NLAts3Ku7XbLSJvcAoXo+TvZLu8AjdOBFzkYSzGr9+X5B+Ovq4Q==" saltValue="Y5gsCVpGTBzjDw5iaSXivw==" spinCount="100000" sheet="1" objects="1" scenarios="1" selectLockedCells="1" selectUnlockedCells="1"/>
  <sortState xmlns:xlrd2="http://schemas.microsoft.com/office/spreadsheetml/2017/richdata2" ref="B61:E74">
    <sortCondition ref="B61:B74"/>
  </sortState>
  <mergeCells count="5">
    <mergeCell ref="B2:H2"/>
    <mergeCell ref="B34:H34"/>
    <mergeCell ref="B48:H48"/>
    <mergeCell ref="B58:H58"/>
    <mergeCell ref="B22:H2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University of Nevada, Reno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Bradford Williams</dc:creator>
  <cp:lastModifiedBy>Microsoft Office User</cp:lastModifiedBy>
  <cp:lastPrinted>2018-08-28T22:10:10Z</cp:lastPrinted>
  <dcterms:created xsi:type="dcterms:W3CDTF">2016-02-26T20:02:48Z</dcterms:created>
  <dcterms:modified xsi:type="dcterms:W3CDTF">2022-04-05T18:28:56Z</dcterms:modified>
</cp:coreProperties>
</file>